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comments3.xml" ContentType="application/vnd.openxmlformats-officedocument.spreadsheetml.comments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filterPrivacy="1" defaultThemeVersion="124226"/>
  <xr:revisionPtr revIDLastSave="0" documentId="13_ncr:1_{0713080F-D8D4-42BF-9788-78744166CE5D}" xr6:coauthVersionLast="47" xr6:coauthVersionMax="47" xr10:uidLastSave="{00000000-0000-0000-0000-000000000000}"/>
  <bookViews>
    <workbookView xWindow="-108" yWindow="-108" windowWidth="23256" windowHeight="12456" tabRatio="866" firstSheet="1" activeTab="3" xr2:uid="{00000000-000D-0000-FFFF-FFFF00000000}"/>
  </bookViews>
  <sheets>
    <sheet name="portaria " sheetId="6" state="hidden" r:id="rId1"/>
    <sheet name="INDICE" sheetId="196" r:id="rId2"/>
    <sheet name="1-RESUMO PROPOSTA" sheetId="180" r:id="rId3"/>
    <sheet name="2-EMPREGADOS X PRODUTIVIDADE" sheetId="188" r:id="rId4"/>
    <sheet name="3-PREÇO POR M²" sheetId="179" r:id="rId5"/>
    <sheet name="4a-CUSTOS SERVENTE AUX LIMPEZA" sheetId="183" r:id="rId6"/>
    <sheet name="4b-CUSTOS AGENTE HIGIENIZAÇÂO" sheetId="191" r:id="rId7"/>
    <sheet name="4c-CUSTOS LIDER" sheetId="192" r:id="rId8"/>
    <sheet name="4d-CUSTOS COPEIRA" sheetId="193" r:id="rId9"/>
    <sheet name="5-BENEFICIOS" sheetId="189" r:id="rId10"/>
    <sheet name="6-CUSTOS UNIFORMES" sheetId="186" r:id="rId11"/>
    <sheet name="7-CUSTOS MATERIAIS E EQUIP." sheetId="187" r:id="rId12"/>
    <sheet name="8-CUSTOS RESERVATORIOS" sheetId="194" r:id="rId13"/>
    <sheet name="9-CUSTOS CONT. PRAGAS" sheetId="195" r:id="rId14"/>
    <sheet name="10-CONTIGENCIAMENTO TRABALHISTA" sheetId="182" r:id="rId15"/>
  </sheets>
  <definedNames>
    <definedName name="ADM" localSheetId="10">#REF!</definedName>
    <definedName name="ADM" localSheetId="11">#REF!</definedName>
    <definedName name="ADM" localSheetId="12">#REF!</definedName>
    <definedName name="ADM" localSheetId="13">#REF!</definedName>
    <definedName name="ADM">#REF!</definedName>
    <definedName name="_xlnm.Print_Area" localSheetId="14">'10-CONTIGENCIAMENTO TRABALHISTA'!$B$1:$F$25</definedName>
    <definedName name="_xlnm.Print_Area" localSheetId="2">'1-RESUMO PROPOSTA'!$B$2:$J$58</definedName>
    <definedName name="_xlnm.Print_Area" localSheetId="3">'2-EMPREGADOS X PRODUTIVIDADE'!$B$1:$J$28</definedName>
    <definedName name="_xlnm.Print_Area" localSheetId="4">'3-PREÇO POR M²'!$B$1:$E$35</definedName>
    <definedName name="_xlnm.Print_Area" localSheetId="5">'4a-CUSTOS SERVENTE AUX LIMPEZA'!$A$1:$D$147</definedName>
    <definedName name="_xlnm.Print_Area" localSheetId="6">'4b-CUSTOS AGENTE HIGIENIZAÇÂO'!$A$1:$D$147</definedName>
    <definedName name="_xlnm.Print_Area" localSheetId="7">'4c-CUSTOS LIDER'!$A$1:$D$147</definedName>
    <definedName name="_xlnm.Print_Area" localSheetId="8">'4d-CUSTOS COPEIRA'!$A$1:$D$147</definedName>
    <definedName name="_xlnm.Print_Area" localSheetId="9">'5-BENEFICIOS'!$A$1:$F$48</definedName>
    <definedName name="_xlnm.Print_Area" localSheetId="10">'6-CUSTOS UNIFORMES'!$A$1:$F$40</definedName>
    <definedName name="_xlnm.Print_Area" localSheetId="12">'8-CUSTOS RESERVATORIOS'!$B$1:$F$14</definedName>
    <definedName name="_xlnm.Print_Area" localSheetId="13">'9-CUSTOS CONT. PRAGAS'!$B$1:$F$15</definedName>
    <definedName name="_xlnm.Print_Area" localSheetId="1">INDICE!$A$1:$F$14</definedName>
    <definedName name="_xlnm.Print_Area" localSheetId="0">'portaria '!$A$1:$E$134</definedName>
    <definedName name="LUCROS" localSheetId="10">#REF!</definedName>
    <definedName name="LUCROS" localSheetId="11">#REF!</definedName>
    <definedName name="LUCROS" localSheetId="12">#REF!</definedName>
    <definedName name="LUCROS" localSheetId="13">#REF!</definedName>
    <definedName name="LUCRO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7" i="189" l="1"/>
  <c r="F13" i="195"/>
  <c r="F12" i="194"/>
  <c r="D45" i="189"/>
  <c r="C47" i="189" s="1"/>
  <c r="D42" i="189"/>
  <c r="C30" i="189"/>
  <c r="C19" i="189"/>
  <c r="C18" i="189"/>
  <c r="D30" i="191"/>
  <c r="E19" i="188"/>
  <c r="F23" i="180" s="1"/>
  <c r="E18" i="188"/>
  <c r="F18" i="188" s="1"/>
  <c r="F20" i="188"/>
  <c r="F19" i="188"/>
  <c r="F16" i="188"/>
  <c r="F15" i="188"/>
  <c r="E20" i="188"/>
  <c r="F24" i="180" s="1"/>
  <c r="F22" i="180"/>
  <c r="E17" i="188"/>
  <c r="F17" i="188" s="1"/>
  <c r="E16" i="188"/>
  <c r="F20" i="180" s="1"/>
  <c r="E15" i="188"/>
  <c r="F19" i="180" s="1"/>
  <c r="F21" i="180"/>
  <c r="C34" i="179"/>
  <c r="C32" i="179"/>
  <c r="C25" i="179"/>
  <c r="C23" i="179"/>
  <c r="C16" i="179"/>
  <c r="C14" i="179"/>
  <c r="D24" i="180"/>
  <c r="D23" i="180"/>
  <c r="D22" i="180"/>
  <c r="D21" i="180"/>
  <c r="D20" i="180"/>
  <c r="D19" i="180"/>
  <c r="I18" i="188"/>
  <c r="I15" i="188"/>
  <c r="D67" i="183"/>
  <c r="G69" i="187"/>
  <c r="G70" i="187"/>
  <c r="G71" i="187"/>
  <c r="G17" i="187"/>
  <c r="D68" i="183" l="1"/>
  <c r="E19" i="180"/>
  <c r="E23" i="180"/>
  <c r="E21" i="180"/>
  <c r="I16" i="188"/>
  <c r="I19" i="188"/>
  <c r="G53" i="187"/>
  <c r="G54" i="187"/>
  <c r="G55" i="187"/>
  <c r="G56" i="187"/>
  <c r="G57" i="187"/>
  <c r="G58" i="187"/>
  <c r="G59" i="187"/>
  <c r="G60" i="187"/>
  <c r="G61" i="187"/>
  <c r="G62" i="187"/>
  <c r="G93" i="187"/>
  <c r="G94" i="187"/>
  <c r="G95" i="187"/>
  <c r="G96" i="187"/>
  <c r="G97" i="187"/>
  <c r="C130" i="193" a="1"/>
  <c r="C130" i="193" s="1"/>
  <c r="C129" i="193" a="1"/>
  <c r="C129" i="193" s="1"/>
  <c r="D69" i="193"/>
  <c r="B69" i="193"/>
  <c r="C61" i="193"/>
  <c r="C60" i="193"/>
  <c r="C130" i="192" a="1"/>
  <c r="C130" i="192" s="1"/>
  <c r="C129" i="192" a="1"/>
  <c r="C129" i="192" s="1"/>
  <c r="D67" i="193"/>
  <c r="D67" i="192"/>
  <c r="D67" i="191"/>
  <c r="D69" i="192"/>
  <c r="B69" i="192"/>
  <c r="C61" i="192"/>
  <c r="C60" i="192"/>
  <c r="C130" i="191" a="1"/>
  <c r="C130" i="191" s="1"/>
  <c r="C129" i="191" a="1"/>
  <c r="C129" i="191" s="1"/>
  <c r="D69" i="191"/>
  <c r="B69" i="191"/>
  <c r="C61" i="191"/>
  <c r="C60" i="191"/>
  <c r="C129" i="183" a="1"/>
  <c r="C129" i="183" s="1"/>
  <c r="C130" i="183" a="1"/>
  <c r="C130" i="183" s="1"/>
  <c r="D124" i="183"/>
  <c r="G92" i="187"/>
  <c r="G91" i="187"/>
  <c r="G90" i="187"/>
  <c r="G89" i="187"/>
  <c r="G88" i="187"/>
  <c r="G87" i="187"/>
  <c r="G86" i="187"/>
  <c r="G85" i="187"/>
  <c r="G84" i="187"/>
  <c r="G83" i="187"/>
  <c r="G82" i="187"/>
  <c r="G81" i="187"/>
  <c r="G80" i="187"/>
  <c r="G79" i="187"/>
  <c r="G78" i="187"/>
  <c r="G77" i="187"/>
  <c r="G76" i="187"/>
  <c r="G75" i="187"/>
  <c r="G74" i="187"/>
  <c r="G73" i="187"/>
  <c r="G72" i="187"/>
  <c r="G25" i="187"/>
  <c r="G26" i="187"/>
  <c r="G27" i="187"/>
  <c r="G28" i="187"/>
  <c r="G29" i="187"/>
  <c r="G30" i="187"/>
  <c r="G31" i="187"/>
  <c r="G32" i="187"/>
  <c r="G33" i="187"/>
  <c r="G34" i="187"/>
  <c r="G35" i="187"/>
  <c r="G36" i="187"/>
  <c r="G37" i="187"/>
  <c r="G38" i="187"/>
  <c r="G39" i="187"/>
  <c r="G40" i="187"/>
  <c r="G41" i="187"/>
  <c r="G42" i="187"/>
  <c r="G43" i="187"/>
  <c r="G44" i="187"/>
  <c r="G45" i="187"/>
  <c r="G46" i="187"/>
  <c r="G47" i="187"/>
  <c r="G48" i="187"/>
  <c r="G49" i="187"/>
  <c r="G50" i="187"/>
  <c r="G51" i="187"/>
  <c r="G52" i="187"/>
  <c r="G14" i="187"/>
  <c r="G15" i="187"/>
  <c r="G16" i="187"/>
  <c r="G18" i="187"/>
  <c r="G19" i="187"/>
  <c r="G20" i="187"/>
  <c r="G21" i="187"/>
  <c r="G22" i="187"/>
  <c r="G23" i="187"/>
  <c r="G24" i="187"/>
  <c r="J15" i="188" l="1"/>
  <c r="E14" i="186" s="1"/>
  <c r="E15" i="186" s="1"/>
  <c r="E16" i="186" s="1"/>
  <c r="E17" i="186" s="1"/>
  <c r="E18" i="186" s="1"/>
  <c r="E19" i="186" s="1"/>
  <c r="E20" i="186" s="1"/>
  <c r="C61" i="183"/>
  <c r="B69" i="183"/>
  <c r="D69" i="183"/>
  <c r="C60" i="183"/>
  <c r="A7" i="186"/>
  <c r="A6" i="186"/>
  <c r="A7" i="193"/>
  <c r="A6" i="193"/>
  <c r="A7" i="192"/>
  <c r="A6" i="192"/>
  <c r="A7" i="191"/>
  <c r="A6" i="191"/>
  <c r="A4" i="191"/>
  <c r="A6" i="183"/>
  <c r="A7" i="183"/>
  <c r="B7" i="179"/>
  <c r="A4" i="186"/>
  <c r="A5" i="186"/>
  <c r="F7" i="182"/>
  <c r="E7" i="182"/>
  <c r="D7" i="182"/>
  <c r="C7" i="182"/>
  <c r="B7" i="182"/>
  <c r="B6" i="182"/>
  <c r="B5" i="182"/>
  <c r="F4" i="182"/>
  <c r="E4" i="182"/>
  <c r="D4" i="182"/>
  <c r="C4" i="182"/>
  <c r="B4" i="182"/>
  <c r="F7" i="195"/>
  <c r="E7" i="195"/>
  <c r="D7" i="195"/>
  <c r="C7" i="195"/>
  <c r="B7" i="195"/>
  <c r="B6" i="195"/>
  <c r="B5" i="195"/>
  <c r="F4" i="195"/>
  <c r="E4" i="195"/>
  <c r="D4" i="195"/>
  <c r="C4" i="195"/>
  <c r="B4" i="195"/>
  <c r="F7" i="194"/>
  <c r="E7" i="194"/>
  <c r="D7" i="194"/>
  <c r="C7" i="194"/>
  <c r="B7" i="194"/>
  <c r="B6" i="194"/>
  <c r="B5" i="194"/>
  <c r="F4" i="194"/>
  <c r="E4" i="194"/>
  <c r="D4" i="194"/>
  <c r="C4" i="194"/>
  <c r="B4" i="194"/>
  <c r="G7" i="187"/>
  <c r="F7" i="187"/>
  <c r="D7" i="187"/>
  <c r="C7" i="187"/>
  <c r="B7" i="187"/>
  <c r="B6" i="187"/>
  <c r="B5" i="187"/>
  <c r="G4" i="187"/>
  <c r="F4" i="187"/>
  <c r="D4" i="187"/>
  <c r="C4" i="187"/>
  <c r="B4" i="187"/>
  <c r="D7" i="189"/>
  <c r="C7" i="189"/>
  <c r="B7" i="189"/>
  <c r="B6" i="189"/>
  <c r="B5" i="189"/>
  <c r="D4" i="189"/>
  <c r="C4" i="189"/>
  <c r="B4" i="189"/>
  <c r="A5" i="193"/>
  <c r="A4" i="193"/>
  <c r="A5" i="192"/>
  <c r="A4" i="192"/>
  <c r="A5" i="191"/>
  <c r="B4" i="179"/>
  <c r="B5" i="179"/>
  <c r="B6" i="179"/>
  <c r="A5" i="183"/>
  <c r="A4" i="183"/>
  <c r="B6" i="188"/>
  <c r="B5" i="188"/>
  <c r="B4" i="188"/>
  <c r="B7" i="188"/>
  <c r="F14" i="195" l="1"/>
  <c r="J27" i="180" s="1"/>
  <c r="F13" i="194"/>
  <c r="J28" i="180" s="1"/>
  <c r="F30" i="186"/>
  <c r="F31" i="186"/>
  <c r="F32" i="186"/>
  <c r="F33" i="186"/>
  <c r="F34" i="186"/>
  <c r="F35" i="186"/>
  <c r="F29" i="186"/>
  <c r="F36" i="186" s="1"/>
  <c r="F37" i="186" s="1"/>
  <c r="C128" i="193"/>
  <c r="C133" i="193" s="1"/>
  <c r="D124" i="193"/>
  <c r="D107" i="193"/>
  <c r="C107" i="193"/>
  <c r="D112" i="193" s="1"/>
  <c r="C98" i="193"/>
  <c r="C97" i="193"/>
  <c r="C96" i="193"/>
  <c r="C95" i="193"/>
  <c r="C94" i="193"/>
  <c r="C84" i="193"/>
  <c r="C81" i="193"/>
  <c r="C82" i="193" s="1"/>
  <c r="D68" i="193"/>
  <c r="D66" i="193"/>
  <c r="D62" i="193" a="1"/>
  <c r="D62" i="193" s="1"/>
  <c r="C52" i="193"/>
  <c r="C38" i="193"/>
  <c r="C40" i="193" s="1"/>
  <c r="D28" i="193"/>
  <c r="D32" i="193" s="1"/>
  <c r="C128" i="192"/>
  <c r="C133" i="192" s="1"/>
  <c r="D124" i="192"/>
  <c r="D107" i="192"/>
  <c r="C107" i="192"/>
  <c r="D112" i="192" s="1"/>
  <c r="C98" i="192"/>
  <c r="C97" i="192"/>
  <c r="C96" i="192"/>
  <c r="C95" i="192"/>
  <c r="C94" i="192"/>
  <c r="C84" i="192"/>
  <c r="C81" i="192"/>
  <c r="C82" i="192" s="1"/>
  <c r="D68" i="192"/>
  <c r="D66" i="192"/>
  <c r="D62" i="192" a="1"/>
  <c r="D62" i="192" s="1"/>
  <c r="C52" i="192"/>
  <c r="C38" i="192"/>
  <c r="C40" i="192" s="1"/>
  <c r="D28" i="192"/>
  <c r="D32" i="192" s="1"/>
  <c r="D86" i="192" s="1"/>
  <c r="C128" i="191"/>
  <c r="C133" i="191" s="1"/>
  <c r="D124" i="191"/>
  <c r="D107" i="191"/>
  <c r="C107" i="191"/>
  <c r="D112" i="191" s="1"/>
  <c r="C98" i="191"/>
  <c r="C97" i="191"/>
  <c r="C96" i="191"/>
  <c r="C95" i="191"/>
  <c r="C94" i="191"/>
  <c r="C84" i="191"/>
  <c r="C81" i="191"/>
  <c r="D68" i="191"/>
  <c r="D66" i="191"/>
  <c r="D62" i="191" a="1"/>
  <c r="D62" i="191" s="1"/>
  <c r="C52" i="191"/>
  <c r="C38" i="191"/>
  <c r="C40" i="191" s="1"/>
  <c r="D28" i="191"/>
  <c r="D32" i="191" s="1"/>
  <c r="D38" i="191" s="1"/>
  <c r="D66" i="183"/>
  <c r="C17" i="189"/>
  <c r="C15" i="189"/>
  <c r="D37" i="189"/>
  <c r="C36" i="189"/>
  <c r="D62" i="183" a="1"/>
  <c r="D62" i="183" s="1"/>
  <c r="C23" i="189" l="1"/>
  <c r="D60" i="193" s="1"/>
  <c r="C24" i="189"/>
  <c r="D60" i="192" s="1"/>
  <c r="C22" i="189"/>
  <c r="F38" i="186"/>
  <c r="F39" i="186" s="1"/>
  <c r="C85" i="191"/>
  <c r="D85" i="191" s="1"/>
  <c r="C85" i="192"/>
  <c r="C87" i="192" s="1"/>
  <c r="C100" i="193"/>
  <c r="C101" i="193" s="1"/>
  <c r="D101" i="193" s="1"/>
  <c r="D97" i="193"/>
  <c r="D39" i="193"/>
  <c r="D86" i="193"/>
  <c r="D139" i="193"/>
  <c r="D83" i="193"/>
  <c r="D99" i="193"/>
  <c r="D82" i="193"/>
  <c r="D84" i="193"/>
  <c r="D94" i="193"/>
  <c r="D95" i="193"/>
  <c r="D96" i="193"/>
  <c r="C85" i="193"/>
  <c r="D85" i="193" s="1"/>
  <c r="D81" i="193"/>
  <c r="D98" i="193"/>
  <c r="D38" i="193"/>
  <c r="D85" i="192"/>
  <c r="D98" i="192"/>
  <c r="D95" i="192"/>
  <c r="D94" i="192"/>
  <c r="D96" i="192"/>
  <c r="D82" i="192"/>
  <c r="D38" i="192"/>
  <c r="D39" i="192"/>
  <c r="D81" i="192"/>
  <c r="D99" i="192"/>
  <c r="C100" i="192"/>
  <c r="D83" i="192"/>
  <c r="D84" i="192"/>
  <c r="D139" i="192"/>
  <c r="D97" i="192"/>
  <c r="D98" i="191"/>
  <c r="D94" i="191"/>
  <c r="D95" i="191"/>
  <c r="C87" i="191"/>
  <c r="D96" i="191"/>
  <c r="D39" i="191"/>
  <c r="D40" i="191" s="1"/>
  <c r="D44" i="191" s="1"/>
  <c r="D86" i="191"/>
  <c r="D83" i="191"/>
  <c r="D99" i="191"/>
  <c r="D139" i="191"/>
  <c r="D97" i="191"/>
  <c r="C100" i="191"/>
  <c r="D81" i="191"/>
  <c r="C82" i="191"/>
  <c r="D82" i="191" s="1"/>
  <c r="D84" i="191"/>
  <c r="C38" i="189"/>
  <c r="C39" i="189" s="1"/>
  <c r="D61" i="183" l="1"/>
  <c r="D61" i="191"/>
  <c r="D61" i="192"/>
  <c r="D61" i="193"/>
  <c r="D60" i="191"/>
  <c r="D60" i="183"/>
  <c r="C87" i="193"/>
  <c r="D50" i="189"/>
  <c r="D40" i="193"/>
  <c r="D100" i="193"/>
  <c r="D102" i="193" s="1"/>
  <c r="D111" i="193" s="1"/>
  <c r="D113" i="193" s="1"/>
  <c r="D142" i="193" s="1"/>
  <c r="D87" i="193"/>
  <c r="D141" i="193" s="1"/>
  <c r="C102" i="193"/>
  <c r="D100" i="192"/>
  <c r="D87" i="192"/>
  <c r="D141" i="192" s="1"/>
  <c r="D40" i="192"/>
  <c r="C101" i="192"/>
  <c r="D101" i="192" s="1"/>
  <c r="D87" i="191"/>
  <c r="D141" i="191" s="1"/>
  <c r="D100" i="191"/>
  <c r="C101" i="191"/>
  <c r="D101" i="191" s="1"/>
  <c r="G68" i="187"/>
  <c r="G13" i="187"/>
  <c r="D28" i="183"/>
  <c r="D107" i="183"/>
  <c r="C107" i="183"/>
  <c r="D112" i="183" s="1"/>
  <c r="C98" i="183"/>
  <c r="C97" i="183"/>
  <c r="C96" i="183"/>
  <c r="C95" i="183"/>
  <c r="C94" i="183"/>
  <c r="C84" i="183"/>
  <c r="C81" i="183"/>
  <c r="C82" i="183" s="1"/>
  <c r="C52" i="183"/>
  <c r="C38" i="183"/>
  <c r="D16" i="182"/>
  <c r="D19" i="182" s="1"/>
  <c r="G98" i="187" l="1"/>
  <c r="G99" i="187" s="1"/>
  <c r="D70" i="193"/>
  <c r="D76" i="193" s="1"/>
  <c r="D70" i="192"/>
  <c r="D76" i="192" s="1"/>
  <c r="D70" i="191"/>
  <c r="D76" i="191" s="1"/>
  <c r="E19" i="182"/>
  <c r="F19" i="182"/>
  <c r="G63" i="187"/>
  <c r="G64" i="187" s="1"/>
  <c r="D74" i="193"/>
  <c r="D48" i="193"/>
  <c r="D50" i="193"/>
  <c r="D49" i="193"/>
  <c r="D51" i="193"/>
  <c r="D44" i="193"/>
  <c r="D47" i="193"/>
  <c r="D46" i="193"/>
  <c r="D45" i="193"/>
  <c r="D102" i="192"/>
  <c r="D111" i="192" s="1"/>
  <c r="D113" i="192" s="1"/>
  <c r="D142" i="192" s="1"/>
  <c r="C102" i="192"/>
  <c r="D74" i="192"/>
  <c r="D45" i="192"/>
  <c r="D46" i="192"/>
  <c r="D44" i="192"/>
  <c r="D47" i="192"/>
  <c r="D48" i="192"/>
  <c r="D49" i="192"/>
  <c r="D50" i="192"/>
  <c r="D51" i="192"/>
  <c r="D102" i="191"/>
  <c r="D111" i="191" s="1"/>
  <c r="D113" i="191" s="1"/>
  <c r="D142" i="191" s="1"/>
  <c r="C102" i="191"/>
  <c r="D74" i="191"/>
  <c r="D47" i="191"/>
  <c r="D51" i="191"/>
  <c r="D50" i="191"/>
  <c r="D49" i="191"/>
  <c r="D45" i="191"/>
  <c r="D48" i="191"/>
  <c r="D46" i="191"/>
  <c r="D70" i="183"/>
  <c r="D76" i="183" s="1"/>
  <c r="C128" i="183"/>
  <c r="C133" i="183" s="1"/>
  <c r="C100" i="183"/>
  <c r="C101" i="183" s="1"/>
  <c r="C102" i="183" s="1"/>
  <c r="D32" i="183"/>
  <c r="C85" i="183"/>
  <c r="C87" i="183" s="1"/>
  <c r="C40" i="183"/>
  <c r="D52" i="193" l="1"/>
  <c r="D75" i="193" s="1"/>
  <c r="D77" i="193"/>
  <c r="D140" i="193" s="1"/>
  <c r="D52" i="192"/>
  <c r="D75" i="192" s="1"/>
  <c r="D77" i="192"/>
  <c r="D140" i="192" s="1"/>
  <c r="D52" i="191"/>
  <c r="D75" i="191" s="1"/>
  <c r="D77" i="191" s="1"/>
  <c r="D140" i="191" s="1"/>
  <c r="D94" i="183"/>
  <c r="D82" i="183"/>
  <c r="D84" i="183"/>
  <c r="D86" i="183"/>
  <c r="D38" i="183"/>
  <c r="D39" i="183"/>
  <c r="D95" i="183"/>
  <c r="D98" i="183"/>
  <c r="D139" i="183"/>
  <c r="D96" i="183"/>
  <c r="D83" i="183"/>
  <c r="D99" i="183"/>
  <c r="D97" i="183"/>
  <c r="D81" i="183"/>
  <c r="D101" i="183"/>
  <c r="D85" i="183"/>
  <c r="D40" i="183" l="1"/>
  <c r="D51" i="183" s="1"/>
  <c r="D87" i="183"/>
  <c r="D141" i="183" s="1"/>
  <c r="D100" i="183"/>
  <c r="D102" i="183" s="1"/>
  <c r="D111" i="183" s="1"/>
  <c r="D113" i="183" s="1"/>
  <c r="D142" i="183" s="1"/>
  <c r="D44" i="183" l="1"/>
  <c r="D46" i="183"/>
  <c r="D74" i="183"/>
  <c r="D49" i="183"/>
  <c r="D48" i="183"/>
  <c r="D47" i="183"/>
  <c r="D50" i="183"/>
  <c r="D45" i="183"/>
  <c r="D52" i="183" l="1"/>
  <c r="D75" i="183" s="1"/>
  <c r="D77" i="183" s="1"/>
  <c r="D140" i="183" s="1"/>
  <c r="C115" i="6" l="1"/>
  <c r="C116" i="6" s="1"/>
  <c r="C106" i="6"/>
  <c r="D86" i="6"/>
  <c r="D96" i="6" s="1"/>
  <c r="C63" i="6"/>
  <c r="C57" i="6"/>
  <c r="C46" i="6"/>
  <c r="C70" i="6" s="1"/>
  <c r="D42" i="6"/>
  <c r="D33" i="6"/>
  <c r="D94" i="6" s="1"/>
  <c r="C33" i="6"/>
  <c r="D39" i="6" l="1"/>
  <c r="D60" i="6"/>
  <c r="D52" i="6"/>
  <c r="D38" i="6"/>
  <c r="D56" i="6"/>
  <c r="D51" i="6"/>
  <c r="C67" i="6"/>
  <c r="D67" i="6" s="1"/>
  <c r="D43" i="6"/>
  <c r="D55" i="6"/>
  <c r="D61" i="6"/>
  <c r="C73" i="6"/>
  <c r="D70" i="6"/>
  <c r="D40" i="6"/>
  <c r="D44" i="6"/>
  <c r="D49" i="6"/>
  <c r="D53" i="6"/>
  <c r="D62" i="6"/>
  <c r="D41" i="6"/>
  <c r="D45" i="6"/>
  <c r="D50" i="6"/>
  <c r="D54" i="6"/>
  <c r="D63" i="6" l="1"/>
  <c r="D46" i="6"/>
  <c r="D57" i="6"/>
  <c r="D73" i="6" l="1"/>
  <c r="D95" i="6"/>
  <c r="D97" i="6" s="1"/>
  <c r="D76" i="6"/>
  <c r="D122" i="6" l="1"/>
  <c r="D104" i="6"/>
  <c r="D105" i="6" l="1"/>
  <c r="D106" i="6" s="1"/>
  <c r="D123" i="6" l="1"/>
  <c r="D114" i="6"/>
  <c r="D111" i="6"/>
  <c r="D112" i="6"/>
  <c r="D115" i="6" l="1"/>
  <c r="D124" i="6" s="1"/>
  <c r="D125" i="6" s="1"/>
  <c r="D126" i="6" s="1"/>
  <c r="E132" i="6" l="1"/>
  <c r="E133" i="6" s="1"/>
  <c r="E134" i="6" s="1"/>
  <c r="D127" i="6"/>
  <c r="D128" i="6" s="1"/>
  <c r="F18" i="186" l="1"/>
  <c r="F15" i="186"/>
  <c r="F17" i="186"/>
  <c r="F16" i="186"/>
  <c r="F20" i="186"/>
  <c r="F19" i="186"/>
  <c r="F14" i="186"/>
  <c r="D118" i="191" l="1"/>
  <c r="D118" i="183"/>
  <c r="D118" i="192"/>
  <c r="D118" i="193"/>
  <c r="F21" i="186"/>
  <c r="F22" i="186" s="1"/>
  <c r="F23" i="186" s="1"/>
  <c r="D119" i="192"/>
  <c r="D119" i="183"/>
  <c r="D119" i="191"/>
  <c r="D119" i="193"/>
  <c r="D117" i="192" l="1"/>
  <c r="D121" i="192" s="1"/>
  <c r="D143" i="192" s="1"/>
  <c r="D144" i="192" s="1"/>
  <c r="D117" i="193"/>
  <c r="D121" i="193" s="1"/>
  <c r="D143" i="193" s="1"/>
  <c r="D144" i="193" s="1"/>
  <c r="D117" i="191"/>
  <c r="D121" i="191" s="1"/>
  <c r="D143" i="191" s="1"/>
  <c r="D144" i="191" s="1"/>
  <c r="D117" i="183"/>
  <c r="D121" i="183" s="1"/>
  <c r="D143" i="183" s="1"/>
  <c r="D144" i="183" s="1"/>
  <c r="D126" i="183" l="1"/>
  <c r="D127" i="183" s="1"/>
  <c r="D131" i="183" s="1"/>
  <c r="D126" i="193"/>
  <c r="D126" i="191"/>
  <c r="D126" i="192"/>
  <c r="D130" i="183" l="1"/>
  <c r="D132" i="183"/>
  <c r="D129" i="183"/>
  <c r="D127" i="192"/>
  <c r="D127" i="191"/>
  <c r="D131" i="191" s="1"/>
  <c r="D127" i="193"/>
  <c r="D130" i="193" s="1"/>
  <c r="D128" i="183" l="1"/>
  <c r="D133" i="183" s="1"/>
  <c r="D145" i="183" s="1"/>
  <c r="D131" i="193"/>
  <c r="D132" i="191"/>
  <c r="D129" i="191"/>
  <c r="D132" i="192"/>
  <c r="D130" i="192"/>
  <c r="D132" i="193"/>
  <c r="D129" i="193"/>
  <c r="D130" i="191"/>
  <c r="D129" i="192"/>
  <c r="D131" i="192"/>
  <c r="D146" i="183" l="1"/>
  <c r="D13" i="179" s="1"/>
  <c r="E13" i="179" s="1"/>
  <c r="G19" i="180" s="1"/>
  <c r="H19" i="180" s="1"/>
  <c r="D128" i="191"/>
  <c r="D133" i="191" s="1"/>
  <c r="D145" i="191" s="1"/>
  <c r="D146" i="191" s="1"/>
  <c r="D24" i="179" s="1"/>
  <c r="E24" i="179" s="1"/>
  <c r="G22" i="180" s="1"/>
  <c r="H22" i="180" s="1"/>
  <c r="D128" i="193"/>
  <c r="D133" i="193" s="1"/>
  <c r="D145" i="193" s="1"/>
  <c r="D146" i="193" s="1"/>
  <c r="I26" i="180" s="1"/>
  <c r="J26" i="180" s="1"/>
  <c r="D128" i="192"/>
  <c r="D133" i="192" s="1"/>
  <c r="D145" i="192" s="1"/>
  <c r="D146" i="192" s="1"/>
  <c r="I25" i="180" s="1"/>
  <c r="J25" i="180" s="1"/>
  <c r="D22" i="179" l="1"/>
  <c r="E22" i="179" s="1"/>
  <c r="G21" i="180" s="1"/>
  <c r="H21" i="180" s="1"/>
  <c r="D15" i="179"/>
  <c r="E15" i="179" s="1"/>
  <c r="G20" i="180" s="1"/>
  <c r="H20" i="180" s="1"/>
  <c r="D33" i="179"/>
  <c r="E33" i="179" s="1"/>
  <c r="G24" i="180" s="1"/>
  <c r="H24" i="180" s="1"/>
  <c r="D31" i="179" l="1"/>
  <c r="E31" i="179" s="1"/>
  <c r="G23" i="180" s="1"/>
  <c r="H23" i="180" s="1"/>
  <c r="I19" i="180" l="1"/>
  <c r="J19" i="180" s="1"/>
  <c r="I29" i="180" s="1"/>
  <c r="I31" i="180" l="1"/>
  <c r="I30" i="18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26" authorId="0" shapeId="0" xr:uid="{FBBED073-20E5-4407-8E0B-3924812274FE}">
      <text>
        <r>
          <rPr>
            <b/>
            <sz val="8"/>
            <color indexed="81"/>
            <rFont val="Aptos Display"/>
            <family val="2"/>
          </rPr>
          <t>Nota 1: </t>
        </r>
        <r>
          <rPr>
            <sz val="8"/>
            <color indexed="81"/>
            <rFont val="Aptos Display"/>
            <family val="2"/>
          </rPr>
          <t>O Módulo 1 refere-se ao valor mensal devido ao empregado pela prestação do serviço no período de 12 meses.</t>
        </r>
      </text>
    </comment>
    <comment ref="A35" authorId="0" shapeId="0" xr:uid="{07036743-A297-4D0A-AB68-619C1AEE973A}">
      <text>
        <r>
          <rPr>
            <b/>
            <sz val="8"/>
            <color indexed="81"/>
            <rFont val="Aptos Display"/>
            <family val="2"/>
          </rPr>
          <t>Nota 1: </t>
        </r>
        <r>
          <rPr>
            <sz val="8"/>
            <color indexed="81"/>
            <rFont val="Aptos Display"/>
            <family val="2"/>
          </rPr>
          <t>Como a planilha de custos e formação de preços é calculada mensalmente, provisiona-se proporcionalmente 1/12 (um doze avos) dos valores referentes a gratificação natalina, férias e adicional de férias.</t>
        </r>
        <r>
          <rPr>
            <b/>
            <sz val="8"/>
            <color indexed="81"/>
            <rFont val="Aptos Display"/>
            <family val="2"/>
          </rPr>
          <t xml:space="preserve"> (Redação dada pela Instrução Normativa nº 7, de 2018).</t>
        </r>
        <r>
          <rPr>
            <sz val="8"/>
            <color indexed="81"/>
            <rFont val="Aptos Display"/>
            <family val="2"/>
          </rPr>
          <t xml:space="preserve">
</t>
        </r>
        <r>
          <rPr>
            <b/>
            <sz val="8"/>
            <color indexed="81"/>
            <rFont val="Aptos Display"/>
            <family val="2"/>
          </rPr>
          <t>Nota 2: </t>
        </r>
        <r>
          <rPr>
            <sz val="8"/>
            <color indexed="81"/>
            <rFont val="Aptos Display"/>
            <family val="2"/>
          </rPr>
          <t xml:space="preserve">O adicional de férias contido no Submódulo 2.1 corresponde a 1/3 (um terço) da remuneração que por sua vez é divido por 12 (doze) conforme Nota 1 acima.
</t>
        </r>
        <r>
          <rPr>
            <b/>
            <sz val="8"/>
            <color indexed="81"/>
            <rFont val="Aptos Display"/>
            <family val="2"/>
          </rPr>
          <t>Nota 3:</t>
        </r>
        <r>
          <rPr>
            <sz val="8"/>
            <color indexed="81"/>
            <rFont val="Aptos Display"/>
            <family val="2"/>
          </rPr>
          <t xml:space="preserve"> A rubrica férias tem como objetivo principal suprir a necessidade do pagamento das férias remuneradas ao final do contrato de 12 meses, tornando-se custo não renovável após o referido período. Assim, o percentual de 8,33% será suprimido após os 12 meses de vigência do contrato </t>
        </r>
        <r>
          <rPr>
            <b/>
            <sz val="8"/>
            <color indexed="81"/>
            <rFont val="Aptos Display"/>
            <family val="2"/>
          </rPr>
          <t xml:space="preserve">(Incluído pela Instrução Normativa nº 7, de 2018). </t>
        </r>
        <r>
          <rPr>
            <sz val="8"/>
            <color indexed="81"/>
            <rFont val="Aptos Display"/>
            <family val="2"/>
          </rPr>
          <t xml:space="preserve">
</t>
        </r>
      </text>
    </comment>
    <comment ref="A42" authorId="0" shapeId="0" xr:uid="{9DA1076C-8C3E-4335-A22A-0136678BC98E}">
      <text>
        <r>
          <rPr>
            <i/>
            <sz val="8"/>
            <color indexed="81"/>
            <rFont val="Segoe UI"/>
            <family val="2"/>
          </rPr>
          <t>Base de Cálculo: Percentual x (Módulo 1 + Submódulo 2.1)</t>
        </r>
      </text>
    </comment>
    <comment ref="C46" authorId="0" shapeId="0" xr:uid="{83DF58D9-5B35-447B-A68E-41EF2D73A679}">
      <text>
        <r>
          <rPr>
            <sz val="8"/>
            <color indexed="81"/>
            <rFont val="Aptos"/>
            <family val="2"/>
          </rPr>
          <t>A licitante deve comprovar o percentual que indicou na proposta mediante juntada de certidão que contenha o percentual</t>
        </r>
      </text>
    </comment>
    <comment ref="A58" authorId="0" shapeId="0" xr:uid="{226C5F9E-BE02-4075-9B17-E43006A54DE3}">
      <text>
        <r>
          <rPr>
            <b/>
            <sz val="8"/>
            <color indexed="81"/>
            <rFont val="Aptos"/>
            <family val="2"/>
          </rPr>
          <t>Nota 1: </t>
        </r>
        <r>
          <rPr>
            <sz val="8"/>
            <color indexed="81"/>
            <rFont val="Aptos"/>
            <family val="2"/>
          </rPr>
          <t xml:space="preserve">O valor informado deverá ser o custo real do benefício (descontado o valor eventualmente pago pelo empregado). 
</t>
        </r>
        <r>
          <rPr>
            <b/>
            <sz val="8"/>
            <color indexed="81"/>
            <rFont val="Aptos"/>
            <family val="2"/>
          </rPr>
          <t xml:space="preserve">
Nota 2: </t>
        </r>
        <r>
          <rPr>
            <sz val="8"/>
            <color indexed="81"/>
            <rFont val="Aptos"/>
            <family val="2"/>
          </rPr>
          <t>Observar a previsão dos benefícios contidos em Acordos, Convenções e Dissídios Coletivos de Trabalho.</t>
        </r>
      </text>
    </comment>
    <comment ref="C81" authorId="0" shapeId="0" xr:uid="{2D9BD096-760B-467E-A5BD-6D7C12903F4C}">
      <text>
        <r>
          <rPr>
            <b/>
            <sz val="8"/>
            <color indexed="81"/>
            <rFont val="Aptos"/>
            <family val="2"/>
          </rPr>
          <t>Aviso Prévio Indenizado:</t>
        </r>
        <r>
          <rPr>
            <sz val="8"/>
            <color indexed="81"/>
            <rFont val="Aptos"/>
            <family val="2"/>
          </rPr>
          <t xml:space="preserve"> Percentual cf. Acórdão do TCU nº 1904/2017 - Plenário - Fórmula: ((1/12)* 0,05 ou 5%) = 0,417% - 5% ou 0,05 = percentual estatístico arbitrado de empregados que poderão ser demitidos com Aviso Prévio Indenizado</t>
        </r>
      </text>
    </comment>
    <comment ref="C82" authorId="0" shapeId="0" xr:uid="{4FFBE58A-7D19-4120-AE93-7B0A798C06C7}">
      <text>
        <r>
          <rPr>
            <b/>
            <sz val="8"/>
            <color indexed="81"/>
            <rFont val="Aptos"/>
            <family val="2"/>
          </rPr>
          <t>Incidência do FGTS sobre o Aviso Prévio Indenizado</t>
        </r>
        <r>
          <rPr>
            <sz val="8"/>
            <color indexed="81"/>
            <rFont val="Aptos"/>
            <family val="2"/>
          </rPr>
          <t>: Súmula nº 305 do TST + Acórdão do TCU nº 2217/2010 - Plenário: (8%) x (0,417%) = 0,033%</t>
        </r>
      </text>
    </comment>
    <comment ref="C83" authorId="0" shapeId="0" xr:uid="{12E6F1E1-00AB-4298-AC9D-D1344422EEFD}">
      <text>
        <r>
          <rPr>
            <b/>
            <sz val="8"/>
            <color indexed="81"/>
            <rFont val="Aptos"/>
            <family val="2"/>
          </rPr>
          <t>2%</t>
        </r>
        <r>
          <rPr>
            <sz val="8"/>
            <color indexed="81"/>
            <rFont val="Aptos"/>
            <family val="2"/>
          </rPr>
          <t xml:space="preserve">- Anexo XII da IN 5/2017 e Lei nº 13.932 que extinguiu, no art. 12, a Contribuição Social de 10% sobre o FGTS: </t>
        </r>
        <r>
          <rPr>
            <b/>
            <sz val="8"/>
            <color indexed="81"/>
            <rFont val="Aptos"/>
            <family val="2"/>
          </rPr>
          <t xml:space="preserve">para os órgãos que trabalham com Conta Vinculada, a soma das multas do FGTS (itens C + F) deve ser igual a 4% </t>
        </r>
        <r>
          <rPr>
            <sz val="8"/>
            <color indexed="81"/>
            <rFont val="Aptos"/>
            <family val="2"/>
          </rPr>
          <t xml:space="preserve">(Incide sobre o Módulo I- Composição da Remuneração). 
Fundamentação Legal: Lei nº 8.036, de 11 de maio de 1990 (Art. 18, § 1º) com redação dada pela Lei nº 9.491, de 9 de setembro de 1997. </t>
        </r>
      </text>
    </comment>
    <comment ref="C84" authorId="0" shapeId="0" xr:uid="{DB57F12C-3A86-4B8C-BD4D-90F8D35D178B}">
      <text>
        <r>
          <rPr>
            <b/>
            <sz val="8"/>
            <color indexed="81"/>
            <rFont val="Aptos"/>
            <family val="2"/>
          </rPr>
          <t>Aviso Prévio Trabalhado:</t>
        </r>
        <r>
          <rPr>
            <sz val="8"/>
            <color indexed="81"/>
            <rFont val="Aptos"/>
            <family val="2"/>
          </rPr>
          <t xml:space="preserve"> Percentual cf. Acórdãos do TCU nº 3006/2010 e 1186/2017 - Plenário
Refere-se à indenização de sete dias corridos devida ao empregado no caso de o empregador rescindir o contrato sem justo motivo e conceder aviso prévio, conforme disposto no art. 488 da CLT. (A empresa terá que arcar com esse custo dos sete dias sem o empregado trabalhar)
</t>
        </r>
        <r>
          <rPr>
            <b/>
            <sz val="8"/>
            <color indexed="81"/>
            <rFont val="Aptos"/>
            <family val="2"/>
          </rPr>
          <t>Cálculo:</t>
        </r>
        <r>
          <rPr>
            <sz val="8"/>
            <color indexed="81"/>
            <rFont val="Aptos"/>
            <family val="2"/>
          </rPr>
          <t xml:space="preserve">
{[(7/30)/12]x100} = 1,944%
7 dias de folga / 30 dias / 12 meses (vigência inicial do contrato) = provisão mensal para esse item de custo 
</t>
        </r>
        <r>
          <rPr>
            <b/>
            <sz val="8"/>
            <color indexed="81"/>
            <rFont val="Aptos"/>
            <family val="2"/>
          </rPr>
          <t>Base de cálculo: Remuneração + 13º salário + Férias e Adicional</t>
        </r>
      </text>
    </comment>
    <comment ref="C94" authorId="0" shapeId="0" xr:uid="{91EC6EDC-80A6-4DCB-9C0C-C6458F083DAF}">
      <text>
        <r>
          <rPr>
            <b/>
            <sz val="8"/>
            <color indexed="81"/>
            <rFont val="Aptos"/>
            <family val="2"/>
          </rPr>
          <t>Demonstrativo de cálculo</t>
        </r>
        <r>
          <rPr>
            <sz val="8"/>
            <color indexed="81"/>
            <rFont val="Aptos"/>
            <family val="2"/>
          </rPr>
          <t xml:space="preserve"> - 1/12 =  rateio de uma remuneração ao longo de 12 meses para o provisionamento do 13º salário; 1/12 =  rateio de uma remuneração ao longo de 12 meses para o provisionamento das Férias; 1/3/12 = rateio do terço constitucional ao longo de 12 meses para o provisionamento do Adicional de Férias;</t>
        </r>
      </text>
    </comment>
    <comment ref="C95" authorId="0" shapeId="0" xr:uid="{47656B27-7FE8-4BCF-87B4-5C3CE190EB2E}">
      <text>
        <r>
          <rPr>
            <sz val="8"/>
            <color indexed="81"/>
            <rFont val="Aptos"/>
            <family val="2"/>
          </rPr>
          <t>Demonstrativo de cálculo - 2 = nº de dias de faltas por ano estimadas de acordo com dados estatísticos do IBGE; /30 = impacto sobre o mês; /12 = impacto diluído ao longo de 12 meses; 0,556%</t>
        </r>
      </text>
    </comment>
    <comment ref="C96" authorId="0" shapeId="0" xr:uid="{A0515B96-F49C-4F19-8FE3-A9FF9106208C}">
      <text>
        <r>
          <rPr>
            <sz val="8"/>
            <color indexed="81"/>
            <rFont val="Aptos"/>
            <family val="2"/>
          </rPr>
          <t>Demonstrativo de cálculo - 5 = nº de dias de ausência, previstos no art. 7º, inciso XIX da CF, combinado com o art. 10, § 1º dos Atos das Disposições Constitucionais Transitórias- ADCT, o qual concede ao empregado o direito de ausentar-se por cinco dias quando do nascimento de filho; 
/30 = impacto sobre o mês; /12 = impacto diluído ao longo de 12 meses; 2% ou 0,02 = percentual estimado por ano de trabalhadores que são pais, de acordo com dados estatísticos do IBGE;</t>
        </r>
      </text>
    </comment>
    <comment ref="C97" authorId="0" shapeId="0" xr:uid="{9F34B785-1878-4AD5-A1F1-AF9913D33EEF}">
      <text>
        <r>
          <rPr>
            <b/>
            <sz val="8"/>
            <color indexed="81"/>
            <rFont val="Aptos"/>
            <family val="2"/>
          </rPr>
          <t xml:space="preserve">Demonstrativo de cálculo </t>
        </r>
        <r>
          <rPr>
            <sz val="8"/>
            <color indexed="81"/>
            <rFont val="Aptos"/>
            <family val="2"/>
          </rPr>
          <t>- 15 = dias de ausência coberta pelo empregador. A Lei n° 8.213/91, que dispõe sobre os Planos de Benefícios da Previdência, em seu art. 60, § 3º, obriga o empregador a assumir o ônus financeiro pelo prazo de 15 dias, no caso de acidente de trabalho previsto no art. 131 da CLT. A ausência após os 15 dias ficará a cargo do INSS. 
/30 = impacto sobre o mês; /12 = impacto diluído ao longo de 12 meses; 7,8% ou 0,078 = segundo o IBGE, cerca de quase 8% dos empregados (nível nacional) sofrem acidente durante o ano;</t>
        </r>
      </text>
    </comment>
    <comment ref="C98" authorId="0" shapeId="0" xr:uid="{F79B4DF5-333D-46A7-9D4B-65745698343F}">
      <text>
        <r>
          <rPr>
            <b/>
            <sz val="8"/>
            <color indexed="81"/>
            <rFont val="Aptos"/>
            <family val="2"/>
          </rPr>
          <t>Demonstrativo de cálculo</t>
        </r>
        <r>
          <rPr>
            <sz val="8"/>
            <color indexed="81"/>
            <rFont val="Aptos"/>
            <family val="2"/>
          </rPr>
          <t xml:space="preserve"> - ((1+1/3)/12) = provisionamento relativo às férias + terço constitucional do empregado substituto, proporcionais aos 120 dias de afastamento da empregada em licença maternidade; 2% ou 0,02 = percentual estimado da ocorrência da licença maternidade ao ano, de acordo com dados estatísticos do IBGE; 4/12 = 4 meses de licença maternidade por ano; 0,074% ou 0,00074</t>
        </r>
      </text>
    </comment>
    <comment ref="D106" authorId="0" shapeId="0" xr:uid="{9049A6EB-721E-40F7-9A51-5A2A9E885EE7}">
      <text>
        <r>
          <rPr>
            <sz val="8"/>
            <color indexed="81"/>
            <rFont val="Aptos"/>
            <family val="2"/>
          </rPr>
          <t>Não há previsão, para esta contratação, de substituto na cobertura de Intervalo para repouso ou alimentação.</t>
        </r>
        <r>
          <rPr>
            <b/>
            <sz val="8"/>
            <color indexed="81"/>
            <rFont val="Aptos"/>
            <family val="2"/>
          </rPr>
          <t xml:space="preserve"> Portanto, este custo deve estar zerado na planilha estimativa.</t>
        </r>
      </text>
    </comment>
    <comment ref="B116" authorId="0" shapeId="0" xr:uid="{AD14706B-E04C-4FE6-ABD7-5E05495D33EC}">
      <text>
        <r>
          <rPr>
            <b/>
            <i/>
            <sz val="8"/>
            <color indexed="81"/>
            <rFont val="Aptos"/>
            <family val="2"/>
          </rPr>
          <t>Nota:</t>
        </r>
        <r>
          <rPr>
            <i/>
            <sz val="8"/>
            <color indexed="81"/>
            <rFont val="Aptos"/>
            <family val="2"/>
          </rPr>
          <t> Valores mensais por posto/empregado.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26" authorId="0" shapeId="0" xr:uid="{69B59512-5700-4F7A-A26A-335907B33304}">
      <text>
        <r>
          <rPr>
            <b/>
            <sz val="8"/>
            <color indexed="81"/>
            <rFont val="Aptos Display"/>
            <family val="2"/>
          </rPr>
          <t>Nota 1: </t>
        </r>
        <r>
          <rPr>
            <sz val="8"/>
            <color indexed="81"/>
            <rFont val="Aptos Display"/>
            <family val="2"/>
          </rPr>
          <t>O Módulo 1 refere-se ao valor mensal devido ao empregado pela prestação do serviço no período de 12 meses.</t>
        </r>
      </text>
    </comment>
    <comment ref="C30" authorId="0" shapeId="0" xr:uid="{7C0DD941-B172-45C0-B1DA-C22B165706AF}">
      <text>
        <r>
          <rPr>
            <sz val="8"/>
            <color indexed="81"/>
            <rFont val="Aptos Display"/>
            <family val="2"/>
          </rPr>
          <t>Valor do Salário Mímimo
Base de de cálculo para o Adicional de Insaluburidade</t>
        </r>
      </text>
    </comment>
    <comment ref="A35" authorId="0" shapeId="0" xr:uid="{4409B05E-2C19-467E-92B8-ABF6330640F4}">
      <text>
        <r>
          <rPr>
            <b/>
            <sz val="8"/>
            <color indexed="81"/>
            <rFont val="Aptos Display"/>
            <family val="2"/>
          </rPr>
          <t>Nota 1: </t>
        </r>
        <r>
          <rPr>
            <sz val="8"/>
            <color indexed="81"/>
            <rFont val="Aptos Display"/>
            <family val="2"/>
          </rPr>
          <t>Como a planilha de custos e formação de preços é calculada mensalmente, provisiona-se proporcionalmente 1/12 (um doze avos) dos valores referentes a gratificação natalina, férias e adicional de férias.</t>
        </r>
        <r>
          <rPr>
            <b/>
            <sz val="8"/>
            <color indexed="81"/>
            <rFont val="Aptos Display"/>
            <family val="2"/>
          </rPr>
          <t xml:space="preserve"> (Redação dada pela Instrução Normativa nº 7, de 2018).</t>
        </r>
        <r>
          <rPr>
            <sz val="8"/>
            <color indexed="81"/>
            <rFont val="Aptos Display"/>
            <family val="2"/>
          </rPr>
          <t xml:space="preserve">
</t>
        </r>
        <r>
          <rPr>
            <b/>
            <sz val="8"/>
            <color indexed="81"/>
            <rFont val="Aptos Display"/>
            <family val="2"/>
          </rPr>
          <t>Nota 2: </t>
        </r>
        <r>
          <rPr>
            <sz val="8"/>
            <color indexed="81"/>
            <rFont val="Aptos Display"/>
            <family val="2"/>
          </rPr>
          <t xml:space="preserve">O adicional de férias contido no Submódulo 2.1 corresponde a 1/3 (um terço) da remuneração que por sua vez é divido por 12 (doze) conforme Nota 1 acima.
</t>
        </r>
        <r>
          <rPr>
            <b/>
            <sz val="8"/>
            <color indexed="81"/>
            <rFont val="Aptos Display"/>
            <family val="2"/>
          </rPr>
          <t>Nota 3:</t>
        </r>
        <r>
          <rPr>
            <sz val="8"/>
            <color indexed="81"/>
            <rFont val="Aptos Display"/>
            <family val="2"/>
          </rPr>
          <t xml:space="preserve"> A rubrica férias tem como objetivo principal suprir a necessidade do pagamento das férias remuneradas ao final do contrato de 12 meses, tornando-se custo não renovável após o referido período. Assim, o percentual de 8,33% será suprimido após os 12 meses de vigência do contrato </t>
        </r>
        <r>
          <rPr>
            <b/>
            <sz val="8"/>
            <color indexed="81"/>
            <rFont val="Aptos Display"/>
            <family val="2"/>
          </rPr>
          <t xml:space="preserve">(Incluído pela Instrução Normativa nº 7, de 2018). </t>
        </r>
        <r>
          <rPr>
            <sz val="8"/>
            <color indexed="81"/>
            <rFont val="Aptos Display"/>
            <family val="2"/>
          </rPr>
          <t xml:space="preserve">
</t>
        </r>
      </text>
    </comment>
    <comment ref="A42" authorId="0" shapeId="0" xr:uid="{F146DD1A-1E70-439D-A4CD-C381CD6B09B0}">
      <text>
        <r>
          <rPr>
            <i/>
            <sz val="8"/>
            <color indexed="81"/>
            <rFont val="Segoe UI"/>
            <family val="2"/>
          </rPr>
          <t>Base de Cálculo: Percentual x (Módulo 1 + Submódulo 2.1)</t>
        </r>
      </text>
    </comment>
    <comment ref="C46" authorId="0" shapeId="0" xr:uid="{575F6CC3-8A81-4BDD-9C84-877EA60C20C4}">
      <text>
        <r>
          <rPr>
            <sz val="8"/>
            <color indexed="81"/>
            <rFont val="Aptos"/>
            <family val="2"/>
          </rPr>
          <t>A licitante deve comprovar o percentual que indicou na proposta mediante juntada de certidão que contenha o percentual</t>
        </r>
      </text>
    </comment>
    <comment ref="A58" authorId="0" shapeId="0" xr:uid="{FD49890E-8D0E-4076-BAA7-80386725ADBA}">
      <text>
        <r>
          <rPr>
            <b/>
            <sz val="8"/>
            <color indexed="81"/>
            <rFont val="Aptos"/>
            <family val="2"/>
          </rPr>
          <t>Nota 1: </t>
        </r>
        <r>
          <rPr>
            <sz val="8"/>
            <color indexed="81"/>
            <rFont val="Aptos"/>
            <family val="2"/>
          </rPr>
          <t xml:space="preserve">O valor informado deverá ser o custo real do benefício (descontado o valor eventualmente pago pelo empregado). 
</t>
        </r>
        <r>
          <rPr>
            <b/>
            <sz val="8"/>
            <color indexed="81"/>
            <rFont val="Aptos"/>
            <family val="2"/>
          </rPr>
          <t xml:space="preserve">
Nota 2: </t>
        </r>
        <r>
          <rPr>
            <sz val="8"/>
            <color indexed="81"/>
            <rFont val="Aptos"/>
            <family val="2"/>
          </rPr>
          <t>Observar a previsão dos benefícios contidos em Acordos, Convenções e Dissídios Coletivos de Trabalho.</t>
        </r>
      </text>
    </comment>
    <comment ref="C81" authorId="0" shapeId="0" xr:uid="{41A9D281-E131-46B7-935D-E19CDA01EB72}">
      <text>
        <r>
          <rPr>
            <b/>
            <sz val="8"/>
            <color indexed="81"/>
            <rFont val="Aptos"/>
            <family val="2"/>
          </rPr>
          <t>Aviso Prévio Indenizado:</t>
        </r>
        <r>
          <rPr>
            <sz val="8"/>
            <color indexed="81"/>
            <rFont val="Aptos"/>
            <family val="2"/>
          </rPr>
          <t xml:space="preserve"> Percentual cf. Acórdão do TCU nº 1904/2017 - Plenário - Fórmula: ((1/12)* 0,05 ou 5%) = 0,417% - 5% ou 0,05 = percentual estatístico arbitrado de empregados que poderão ser demitidos com Aviso Prévio Indenizado</t>
        </r>
      </text>
    </comment>
    <comment ref="C82" authorId="0" shapeId="0" xr:uid="{116D4124-3FBA-41BE-A08E-0EB3501B8B74}">
      <text>
        <r>
          <rPr>
            <b/>
            <sz val="8"/>
            <color indexed="81"/>
            <rFont val="Aptos"/>
            <family val="2"/>
          </rPr>
          <t>Incidência do FGTS sobre o Aviso Prévio Indenizado</t>
        </r>
        <r>
          <rPr>
            <sz val="8"/>
            <color indexed="81"/>
            <rFont val="Aptos"/>
            <family val="2"/>
          </rPr>
          <t>: Súmula nº 305 do TST + Acórdão do TCU nº 2217/2010 - Plenário: (8%) x (0,417%) = 0,033%</t>
        </r>
      </text>
    </comment>
    <comment ref="C83" authorId="0" shapeId="0" xr:uid="{FE3EED5D-E830-4212-8E1D-DE2A19F740E7}">
      <text>
        <r>
          <rPr>
            <b/>
            <sz val="8"/>
            <color indexed="81"/>
            <rFont val="Aptos"/>
            <family val="2"/>
          </rPr>
          <t>2%</t>
        </r>
        <r>
          <rPr>
            <sz val="8"/>
            <color indexed="81"/>
            <rFont val="Aptos"/>
            <family val="2"/>
          </rPr>
          <t xml:space="preserve">- Anexo XII da IN 5/2017 e Lei nº 13.932 que extinguiu, no art. 12, a Contribuição Social de 10% sobre o FGTS: </t>
        </r>
        <r>
          <rPr>
            <b/>
            <sz val="8"/>
            <color indexed="81"/>
            <rFont val="Aptos"/>
            <family val="2"/>
          </rPr>
          <t xml:space="preserve">para os órgãos que trabalham com Conta Vinculada, a soma das multas do FGTS (itens C + F) deve ser igual a 4% </t>
        </r>
        <r>
          <rPr>
            <sz val="8"/>
            <color indexed="81"/>
            <rFont val="Aptos"/>
            <family val="2"/>
          </rPr>
          <t xml:space="preserve">(Incide sobre o Módulo I- Composição da Remuneração). 
Fundamentação Legal: Lei nº 8.036, de 11 de maio de 1990 (Art. 18, § 1º) com redação dada pela Lei nº 9.491, de 9 de setembro de 1997. </t>
        </r>
      </text>
    </comment>
    <comment ref="C84" authorId="0" shapeId="0" xr:uid="{FEB03DF6-B713-4C36-B788-B02BBA3B1958}">
      <text>
        <r>
          <rPr>
            <b/>
            <sz val="8"/>
            <color indexed="81"/>
            <rFont val="Aptos"/>
            <family val="2"/>
          </rPr>
          <t>Aviso Prévio Trabalhado:</t>
        </r>
        <r>
          <rPr>
            <sz val="8"/>
            <color indexed="81"/>
            <rFont val="Aptos"/>
            <family val="2"/>
          </rPr>
          <t xml:space="preserve"> Percentual cf. Acórdãos do TCU nº 3006/2010 e 1186/2017 - Plenário
Refere-se à indenização de sete dias corridos devida ao empregado no caso de o empregador rescindir o contrato sem justo motivo e conceder aviso prévio, conforme disposto no art. 488 da CLT. (A empresa terá que arcar com esse custo dos sete dias sem o empregado trabalhar)
</t>
        </r>
        <r>
          <rPr>
            <b/>
            <sz val="8"/>
            <color indexed="81"/>
            <rFont val="Aptos"/>
            <family val="2"/>
          </rPr>
          <t>Cálculo:</t>
        </r>
        <r>
          <rPr>
            <sz val="8"/>
            <color indexed="81"/>
            <rFont val="Aptos"/>
            <family val="2"/>
          </rPr>
          <t xml:space="preserve">
{[(7/30)/12]x100} = 1,944%
7 dias de folga / 30 dias / 12 meses (vigência inicial do contrato) = provisão mensal para esse item de custo 
</t>
        </r>
        <r>
          <rPr>
            <b/>
            <sz val="8"/>
            <color indexed="81"/>
            <rFont val="Aptos"/>
            <family val="2"/>
          </rPr>
          <t>Base de cálculo: Remuneração + 13º salário + Férias e Adicional</t>
        </r>
      </text>
    </comment>
    <comment ref="C94" authorId="0" shapeId="0" xr:uid="{679141A3-7321-46DD-9173-E36A0A810EDA}">
      <text>
        <r>
          <rPr>
            <b/>
            <sz val="8"/>
            <color indexed="81"/>
            <rFont val="Aptos"/>
            <family val="2"/>
          </rPr>
          <t>Demonstrativo de cálculo</t>
        </r>
        <r>
          <rPr>
            <sz val="8"/>
            <color indexed="81"/>
            <rFont val="Aptos"/>
            <family val="2"/>
          </rPr>
          <t xml:space="preserve"> - 1/12 =  rateio de uma remuneração ao longo de 12 meses para o provisionamento do 13º salário; 1/12 =  rateio de uma remuneração ao longo de 12 meses para o provisionamento das Férias; 1/3/12 = rateio do terço constitucional ao longo de 12 meses para o provisionamento do Adicional de Férias;</t>
        </r>
      </text>
    </comment>
    <comment ref="C95" authorId="0" shapeId="0" xr:uid="{C7B3C834-C70A-441F-A286-455ED6C0AF67}">
      <text>
        <r>
          <rPr>
            <sz val="8"/>
            <color indexed="81"/>
            <rFont val="Aptos"/>
            <family val="2"/>
          </rPr>
          <t>Demonstrativo de cálculo - 2 = nº de dias de faltas por ano estimadas de acordo com dados estatísticos do IBGE; /30 = impacto sobre o mês; /12 = impacto diluído ao longo de 12 meses; 0,556%</t>
        </r>
      </text>
    </comment>
    <comment ref="C96" authorId="0" shapeId="0" xr:uid="{005171AC-D983-4BD4-BF28-E7BDE69CC04C}">
      <text>
        <r>
          <rPr>
            <sz val="8"/>
            <color indexed="81"/>
            <rFont val="Aptos"/>
            <family val="2"/>
          </rPr>
          <t>Demonstrativo de cálculo - 5 = nº de dias de ausência, previstos no art. 7º, inciso XIX da CF, combinado com o art. 10, § 1º dos Atos das Disposições Constitucionais Transitórias- ADCT, o qual concede ao empregado o direito de ausentar-se por cinco dias quando do nascimento de filho; 
/30 = impacto sobre o mês; /12 = impacto diluído ao longo de 12 meses; 2% ou 0,02 = percentual estimado por ano de trabalhadores que são pais, de acordo com dados estatísticos do IBGE;</t>
        </r>
      </text>
    </comment>
    <comment ref="C97" authorId="0" shapeId="0" xr:uid="{6D686F73-E7DE-47D3-B655-39066D549170}">
      <text>
        <r>
          <rPr>
            <b/>
            <sz val="8"/>
            <color indexed="81"/>
            <rFont val="Aptos"/>
            <family val="2"/>
          </rPr>
          <t xml:space="preserve">Demonstrativo de cálculo </t>
        </r>
        <r>
          <rPr>
            <sz val="8"/>
            <color indexed="81"/>
            <rFont val="Aptos"/>
            <family val="2"/>
          </rPr>
          <t>- 15 = dias de ausência coberta pelo empregador. A Lei n° 8.213/91, que dispõe sobre os Planos de Benefícios da Previdência, em seu art. 60, § 3º, obriga o empregador a assumir o ônus financeiro pelo prazo de 15 dias, no caso de acidente de trabalho previsto no art. 131 da CLT. A ausência após os 15 dias ficará a cargo do INSS. 
/30 = impacto sobre o mês; /12 = impacto diluído ao longo de 12 meses; 7,8% ou 0,078 = segundo o IBGE, cerca de quase 8% dos empregados (nível nacional) sofrem acidente durante o ano;</t>
        </r>
      </text>
    </comment>
    <comment ref="C98" authorId="0" shapeId="0" xr:uid="{CA6361C6-A25E-4222-BE81-1838C7B3E905}">
      <text>
        <r>
          <rPr>
            <b/>
            <sz val="8"/>
            <color indexed="81"/>
            <rFont val="Aptos"/>
            <family val="2"/>
          </rPr>
          <t>Demonstrativo de cálculo</t>
        </r>
        <r>
          <rPr>
            <sz val="8"/>
            <color indexed="81"/>
            <rFont val="Aptos"/>
            <family val="2"/>
          </rPr>
          <t xml:space="preserve"> - ((1+1/3)/12) = provisionamento relativo às férias + terço constitucional do empregado substituto, proporcionais aos 120 dias de afastamento da empregada em licença maternidade; 2% ou 0,02 = percentual estimado da ocorrência da licença maternidade ao ano, de acordo com dados estatísticos do IBGE; 4/12 = 4 meses de licença maternidade por ano; 0,074% ou 0,00074</t>
        </r>
      </text>
    </comment>
    <comment ref="D106" authorId="0" shapeId="0" xr:uid="{E588D174-C774-4A7F-9EA3-BE8EF0E9CA37}">
      <text>
        <r>
          <rPr>
            <sz val="8"/>
            <color indexed="81"/>
            <rFont val="Aptos"/>
            <family val="2"/>
          </rPr>
          <t>Não há previsão, para esta contratação, de substituto na cobertura de Intervalo para repouso ou alimentação.</t>
        </r>
        <r>
          <rPr>
            <b/>
            <sz val="8"/>
            <color indexed="81"/>
            <rFont val="Aptos"/>
            <family val="2"/>
          </rPr>
          <t xml:space="preserve"> Portanto, este custo deve estar zerado na planilha estimativa.</t>
        </r>
      </text>
    </comment>
    <comment ref="B116" authorId="0" shapeId="0" xr:uid="{66C17393-4F51-4D10-AD2B-5F130C3C76B3}">
      <text>
        <r>
          <rPr>
            <b/>
            <i/>
            <sz val="8"/>
            <color indexed="81"/>
            <rFont val="Aptos"/>
            <family val="2"/>
          </rPr>
          <t>Nota:</t>
        </r>
        <r>
          <rPr>
            <i/>
            <sz val="8"/>
            <color indexed="81"/>
            <rFont val="Aptos"/>
            <family val="2"/>
          </rPr>
          <t> Valores mensais por posto/empregado.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26" authorId="0" shapeId="0" xr:uid="{9F6F0CAE-81D8-4FB2-88EC-B86B29C5016C}">
      <text>
        <r>
          <rPr>
            <b/>
            <sz val="8"/>
            <color indexed="81"/>
            <rFont val="Aptos Display"/>
            <family val="2"/>
          </rPr>
          <t>Nota 1: </t>
        </r>
        <r>
          <rPr>
            <sz val="8"/>
            <color indexed="81"/>
            <rFont val="Aptos Display"/>
            <family val="2"/>
          </rPr>
          <t>O Módulo 1 refere-se ao valor mensal devido ao empregado pela prestação do serviço no período de 12 meses.</t>
        </r>
      </text>
    </comment>
    <comment ref="A35" authorId="0" shapeId="0" xr:uid="{84CE9EEA-FB46-4ED5-B211-6C9C0B1FDAE8}">
      <text>
        <r>
          <rPr>
            <b/>
            <sz val="8"/>
            <color indexed="81"/>
            <rFont val="Aptos Display"/>
            <family val="2"/>
          </rPr>
          <t>Nota 1: </t>
        </r>
        <r>
          <rPr>
            <sz val="8"/>
            <color indexed="81"/>
            <rFont val="Aptos Display"/>
            <family val="2"/>
          </rPr>
          <t>Como a planilha de custos e formação de preços é calculada mensalmente, provisiona-se proporcionalmente 1/12 (um doze avos) dos valores referentes a gratificação natalina, férias e adicional de férias.</t>
        </r>
        <r>
          <rPr>
            <b/>
            <sz val="8"/>
            <color indexed="81"/>
            <rFont val="Aptos Display"/>
            <family val="2"/>
          </rPr>
          <t xml:space="preserve"> (Redação dada pela Instrução Normativa nº 7, de 2018).</t>
        </r>
        <r>
          <rPr>
            <sz val="8"/>
            <color indexed="81"/>
            <rFont val="Aptos Display"/>
            <family val="2"/>
          </rPr>
          <t xml:space="preserve">
</t>
        </r>
        <r>
          <rPr>
            <b/>
            <sz val="8"/>
            <color indexed="81"/>
            <rFont val="Aptos Display"/>
            <family val="2"/>
          </rPr>
          <t>Nota 2: </t>
        </r>
        <r>
          <rPr>
            <sz val="8"/>
            <color indexed="81"/>
            <rFont val="Aptos Display"/>
            <family val="2"/>
          </rPr>
          <t xml:space="preserve">O adicional de férias contido no Submódulo 2.1 corresponde a 1/3 (um terço) da remuneração que por sua vez é divido por 12 (doze) conforme Nota 1 acima.
</t>
        </r>
        <r>
          <rPr>
            <b/>
            <sz val="8"/>
            <color indexed="81"/>
            <rFont val="Aptos Display"/>
            <family val="2"/>
          </rPr>
          <t>Nota 3:</t>
        </r>
        <r>
          <rPr>
            <sz val="8"/>
            <color indexed="81"/>
            <rFont val="Aptos Display"/>
            <family val="2"/>
          </rPr>
          <t xml:space="preserve"> A rubrica férias tem como objetivo principal suprir a necessidade do pagamento das férias remuneradas ao final do contrato de 12 meses, tornando-se custo não renovável após o referido período. Assim, o percentual de 8,33% será suprimido após os 12 meses de vigência do contrato </t>
        </r>
        <r>
          <rPr>
            <b/>
            <sz val="8"/>
            <color indexed="81"/>
            <rFont val="Aptos Display"/>
            <family val="2"/>
          </rPr>
          <t xml:space="preserve">(Incluído pela Instrução Normativa nº 7, de 2018). </t>
        </r>
        <r>
          <rPr>
            <sz val="8"/>
            <color indexed="81"/>
            <rFont val="Aptos Display"/>
            <family val="2"/>
          </rPr>
          <t xml:space="preserve">
</t>
        </r>
      </text>
    </comment>
    <comment ref="A42" authorId="0" shapeId="0" xr:uid="{93A7E4A5-6012-4BAB-A31E-F58A4BABE075}">
      <text>
        <r>
          <rPr>
            <i/>
            <sz val="8"/>
            <color indexed="81"/>
            <rFont val="Segoe UI"/>
            <family val="2"/>
          </rPr>
          <t>Base de Cálculo: Percentual x (Módulo 1 + Submódulo 2.1)</t>
        </r>
      </text>
    </comment>
    <comment ref="C46" authorId="0" shapeId="0" xr:uid="{6D4EE314-0880-4EEF-9D60-9A4598B61848}">
      <text>
        <r>
          <rPr>
            <sz val="8"/>
            <color indexed="81"/>
            <rFont val="Aptos"/>
            <family val="2"/>
          </rPr>
          <t>A licitante deve comprovar o percentual que indicou na proposta mediante juntada de certidão que contenha o percentual</t>
        </r>
      </text>
    </comment>
    <comment ref="A58" authorId="0" shapeId="0" xr:uid="{9EA2E947-C7C5-4CFF-BFE1-24E110E301C2}">
      <text>
        <r>
          <rPr>
            <b/>
            <sz val="8"/>
            <color indexed="81"/>
            <rFont val="Aptos"/>
            <family val="2"/>
          </rPr>
          <t>Nota 1: </t>
        </r>
        <r>
          <rPr>
            <sz val="8"/>
            <color indexed="81"/>
            <rFont val="Aptos"/>
            <family val="2"/>
          </rPr>
          <t xml:space="preserve">O valor informado deverá ser o custo real do benefício (descontado o valor eventualmente pago pelo empregado). 
</t>
        </r>
        <r>
          <rPr>
            <b/>
            <sz val="8"/>
            <color indexed="81"/>
            <rFont val="Aptos"/>
            <family val="2"/>
          </rPr>
          <t xml:space="preserve">
Nota 2: </t>
        </r>
        <r>
          <rPr>
            <sz val="8"/>
            <color indexed="81"/>
            <rFont val="Aptos"/>
            <family val="2"/>
          </rPr>
          <t>Observar a previsão dos benefícios contidos em Acordos, Convenções e Dissídios Coletivos de Trabalho.</t>
        </r>
      </text>
    </comment>
    <comment ref="C81" authorId="0" shapeId="0" xr:uid="{C509CD33-2529-49C7-85D7-0D410CFC281C}">
      <text>
        <r>
          <rPr>
            <b/>
            <sz val="8"/>
            <color indexed="81"/>
            <rFont val="Aptos"/>
            <family val="2"/>
          </rPr>
          <t>Aviso Prévio Indenizado:</t>
        </r>
        <r>
          <rPr>
            <sz val="8"/>
            <color indexed="81"/>
            <rFont val="Aptos"/>
            <family val="2"/>
          </rPr>
          <t xml:space="preserve"> Percentual cf. Acórdão do TCU nº 1904/2017 - Plenário - Fórmula: ((1/12)* 0,05 ou 5%) = 0,417% - 5% ou 0,05 = percentual estatístico arbitrado de empregados que poderão ser demitidos com Aviso Prévio Indenizado</t>
        </r>
      </text>
    </comment>
    <comment ref="C82" authorId="0" shapeId="0" xr:uid="{D465BD0B-9A07-41FE-8CFF-F8A98CC18751}">
      <text>
        <r>
          <rPr>
            <b/>
            <sz val="8"/>
            <color indexed="81"/>
            <rFont val="Aptos"/>
            <family val="2"/>
          </rPr>
          <t>Incidência do FGTS sobre o Aviso Prévio Indenizado</t>
        </r>
        <r>
          <rPr>
            <sz val="8"/>
            <color indexed="81"/>
            <rFont val="Aptos"/>
            <family val="2"/>
          </rPr>
          <t>: Súmula nº 305 do TST + Acórdão do TCU nº 2217/2010 - Plenário: (8%) x (0,417%) = 0,033%</t>
        </r>
      </text>
    </comment>
    <comment ref="C83" authorId="0" shapeId="0" xr:uid="{F0CBF4C6-80BB-4C81-A033-FE05F57DD1CC}">
      <text>
        <r>
          <rPr>
            <b/>
            <sz val="8"/>
            <color indexed="81"/>
            <rFont val="Aptos"/>
            <family val="2"/>
          </rPr>
          <t>2%</t>
        </r>
        <r>
          <rPr>
            <sz val="8"/>
            <color indexed="81"/>
            <rFont val="Aptos"/>
            <family val="2"/>
          </rPr>
          <t xml:space="preserve">- Anexo XII da IN 5/2017 e Lei nº 13.932 que extinguiu, no art. 12, a Contribuição Social de 10% sobre o FGTS: </t>
        </r>
        <r>
          <rPr>
            <b/>
            <sz val="8"/>
            <color indexed="81"/>
            <rFont val="Aptos"/>
            <family val="2"/>
          </rPr>
          <t xml:space="preserve">para os órgãos que trabalham com Conta Vinculada, a soma das multas do FGTS (itens C + F) deve ser igual a 4% </t>
        </r>
        <r>
          <rPr>
            <sz val="8"/>
            <color indexed="81"/>
            <rFont val="Aptos"/>
            <family val="2"/>
          </rPr>
          <t xml:space="preserve">(Incide sobre o Módulo I- Composição da Remuneração). 
Fundamentação Legal: Lei nº 8.036, de 11 de maio de 1990 (Art. 18, § 1º) com redação dada pela Lei nº 9.491, de 9 de setembro de 1997. </t>
        </r>
      </text>
    </comment>
    <comment ref="C84" authorId="0" shapeId="0" xr:uid="{080E0542-C3F7-448E-B261-92070AA62036}">
      <text>
        <r>
          <rPr>
            <b/>
            <sz val="8"/>
            <color indexed="81"/>
            <rFont val="Aptos"/>
            <family val="2"/>
          </rPr>
          <t>Aviso Prévio Trabalhado:</t>
        </r>
        <r>
          <rPr>
            <sz val="8"/>
            <color indexed="81"/>
            <rFont val="Aptos"/>
            <family val="2"/>
          </rPr>
          <t xml:space="preserve"> Percentual cf. Acórdãos do TCU nº 3006/2010 e 1186/2017 - Plenário
Refere-se à indenização de sete dias corridos devida ao empregado no caso de o empregador rescindir o contrato sem justo motivo e conceder aviso prévio, conforme disposto no art. 488 da CLT. (A empresa terá que arcar com esse custo dos sete dias sem o empregado trabalhar)
</t>
        </r>
        <r>
          <rPr>
            <b/>
            <sz val="8"/>
            <color indexed="81"/>
            <rFont val="Aptos"/>
            <family val="2"/>
          </rPr>
          <t>Cálculo:</t>
        </r>
        <r>
          <rPr>
            <sz val="8"/>
            <color indexed="81"/>
            <rFont val="Aptos"/>
            <family val="2"/>
          </rPr>
          <t xml:space="preserve">
{[(7/30)/12]x100} = 1,944%
7 dias de folga / 30 dias / 12 meses (vigência inicial do contrato) = provisão mensal para esse item de custo 
</t>
        </r>
        <r>
          <rPr>
            <b/>
            <sz val="8"/>
            <color indexed="81"/>
            <rFont val="Aptos"/>
            <family val="2"/>
          </rPr>
          <t>Base de cálculo: Remuneração + 13º salário + Férias e Adicional</t>
        </r>
      </text>
    </comment>
    <comment ref="C94" authorId="0" shapeId="0" xr:uid="{E64C392C-621F-441A-BBAC-14313300CE98}">
      <text>
        <r>
          <rPr>
            <b/>
            <sz val="8"/>
            <color indexed="81"/>
            <rFont val="Aptos"/>
            <family val="2"/>
          </rPr>
          <t>Demonstrativo de cálculo</t>
        </r>
        <r>
          <rPr>
            <sz val="8"/>
            <color indexed="81"/>
            <rFont val="Aptos"/>
            <family val="2"/>
          </rPr>
          <t xml:space="preserve"> - 1/12 =  rateio de uma remuneração ao longo de 12 meses para o provisionamento do 13º salário; 1/12 =  rateio de uma remuneração ao longo de 12 meses para o provisionamento das Férias; 1/3/12 = rateio do terço constitucional ao longo de 12 meses para o provisionamento do Adicional de Férias;</t>
        </r>
      </text>
    </comment>
    <comment ref="C95" authorId="0" shapeId="0" xr:uid="{45D25347-E20C-421E-92F6-57CA1884EC08}">
      <text>
        <r>
          <rPr>
            <sz val="8"/>
            <color indexed="81"/>
            <rFont val="Aptos"/>
            <family val="2"/>
          </rPr>
          <t>Demonstrativo de cálculo - 2 = nº de dias de faltas por ano estimadas de acordo com dados estatísticos do IBGE; /30 = impacto sobre o mês; /12 = impacto diluído ao longo de 12 meses; 0,556%</t>
        </r>
      </text>
    </comment>
    <comment ref="C96" authorId="0" shapeId="0" xr:uid="{4481589E-DF72-41A1-A2EE-F8977676048E}">
      <text>
        <r>
          <rPr>
            <sz val="8"/>
            <color indexed="81"/>
            <rFont val="Aptos"/>
            <family val="2"/>
          </rPr>
          <t>Demonstrativo de cálculo - 5 = nº de dias de ausência, previstos no art. 7º, inciso XIX da CF, combinado com o art. 10, § 1º dos Atos das Disposições Constitucionais Transitórias- ADCT, o qual concede ao empregado o direito de ausentar-se por cinco dias quando do nascimento de filho; 
/30 = impacto sobre o mês; /12 = impacto diluído ao longo de 12 meses; 2% ou 0,02 = percentual estimado por ano de trabalhadores que são pais, de acordo com dados estatísticos do IBGE;</t>
        </r>
      </text>
    </comment>
    <comment ref="C97" authorId="0" shapeId="0" xr:uid="{A1069E88-964F-4CAF-873C-220C4E74113A}">
      <text>
        <r>
          <rPr>
            <b/>
            <sz val="8"/>
            <color indexed="81"/>
            <rFont val="Aptos"/>
            <family val="2"/>
          </rPr>
          <t xml:space="preserve">Demonstrativo de cálculo </t>
        </r>
        <r>
          <rPr>
            <sz val="8"/>
            <color indexed="81"/>
            <rFont val="Aptos"/>
            <family val="2"/>
          </rPr>
          <t>- 15 = dias de ausência coberta pelo empregador. A Lei n° 8.213/91, que dispõe sobre os Planos de Benefícios da Previdência, em seu art. 60, § 3º, obriga o empregador a assumir o ônus financeiro pelo prazo de 15 dias, no caso de acidente de trabalho previsto no art. 131 da CLT. A ausência após os 15 dias ficará a cargo do INSS. 
/30 = impacto sobre o mês; /12 = impacto diluído ao longo de 12 meses; 7,8% ou 0,078 = segundo o IBGE, cerca de quase 8% dos empregados (nível nacional) sofrem acidente durante o ano;</t>
        </r>
      </text>
    </comment>
    <comment ref="C98" authorId="0" shapeId="0" xr:uid="{0C0A420A-F2DC-49A0-8305-4B2E30814BA6}">
      <text>
        <r>
          <rPr>
            <b/>
            <sz val="8"/>
            <color indexed="81"/>
            <rFont val="Aptos"/>
            <family val="2"/>
          </rPr>
          <t>Demonstrativo de cálculo</t>
        </r>
        <r>
          <rPr>
            <sz val="8"/>
            <color indexed="81"/>
            <rFont val="Aptos"/>
            <family val="2"/>
          </rPr>
          <t xml:space="preserve"> - ((1+1/3)/12) = provisionamento relativo às férias + terço constitucional do empregado substituto, proporcionais aos 120 dias de afastamento da empregada em licença maternidade; 2% ou 0,02 = percentual estimado da ocorrência da licença maternidade ao ano, de acordo com dados estatísticos do IBGE; 4/12 = 4 meses de licença maternidade por ano; 0,074% ou 0,00074</t>
        </r>
      </text>
    </comment>
    <comment ref="D106" authorId="0" shapeId="0" xr:uid="{B678812C-FBA9-47F2-B734-323A50B30A05}">
      <text>
        <r>
          <rPr>
            <sz val="8"/>
            <color indexed="81"/>
            <rFont val="Aptos"/>
            <family val="2"/>
          </rPr>
          <t>Não há previsão, para esta contratação, de substituto na cobertura de Intervalo para repouso ou alimentação.</t>
        </r>
        <r>
          <rPr>
            <b/>
            <sz val="8"/>
            <color indexed="81"/>
            <rFont val="Aptos"/>
            <family val="2"/>
          </rPr>
          <t xml:space="preserve"> Portanto, este custo deve estar zerado na planilha estimativa.</t>
        </r>
      </text>
    </comment>
    <comment ref="B116" authorId="0" shapeId="0" xr:uid="{026A846F-0449-45C6-B655-A5956A261EEE}">
      <text>
        <r>
          <rPr>
            <b/>
            <i/>
            <sz val="8"/>
            <color indexed="81"/>
            <rFont val="Aptos"/>
            <family val="2"/>
          </rPr>
          <t>Nota:</t>
        </r>
        <r>
          <rPr>
            <i/>
            <sz val="8"/>
            <color indexed="81"/>
            <rFont val="Aptos"/>
            <family val="2"/>
          </rPr>
          <t> Valores mensais por posto/empregado.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26" authorId="0" shapeId="0" xr:uid="{378479F1-0910-40D2-AB7C-0A26DBD3570B}">
      <text>
        <r>
          <rPr>
            <b/>
            <sz val="8"/>
            <color indexed="81"/>
            <rFont val="Aptos Display"/>
            <family val="2"/>
          </rPr>
          <t>Nota 1: </t>
        </r>
        <r>
          <rPr>
            <sz val="8"/>
            <color indexed="81"/>
            <rFont val="Aptos Display"/>
            <family val="2"/>
          </rPr>
          <t>O Módulo 1 refere-se ao valor mensal devido ao empregado pela prestação do serviço no período de 12 meses.</t>
        </r>
      </text>
    </comment>
    <comment ref="A35" authorId="0" shapeId="0" xr:uid="{1768DA21-243B-43E9-BD90-5CD01D65F6DD}">
      <text>
        <r>
          <rPr>
            <b/>
            <sz val="8"/>
            <color indexed="81"/>
            <rFont val="Aptos Display"/>
            <family val="2"/>
          </rPr>
          <t>Nota 1: </t>
        </r>
        <r>
          <rPr>
            <sz val="8"/>
            <color indexed="81"/>
            <rFont val="Aptos Display"/>
            <family val="2"/>
          </rPr>
          <t>Como a planilha de custos e formação de preços é calculada mensalmente, provisiona-se proporcionalmente 1/12 (um doze avos) dos valores referentes a gratificação natalina, férias e adicional de férias.</t>
        </r>
        <r>
          <rPr>
            <b/>
            <sz val="8"/>
            <color indexed="81"/>
            <rFont val="Aptos Display"/>
            <family val="2"/>
          </rPr>
          <t xml:space="preserve"> (Redação dada pela Instrução Normativa nº 7, de 2018).</t>
        </r>
        <r>
          <rPr>
            <sz val="8"/>
            <color indexed="81"/>
            <rFont val="Aptos Display"/>
            <family val="2"/>
          </rPr>
          <t xml:space="preserve">
</t>
        </r>
        <r>
          <rPr>
            <b/>
            <sz val="8"/>
            <color indexed="81"/>
            <rFont val="Aptos Display"/>
            <family val="2"/>
          </rPr>
          <t>Nota 2: </t>
        </r>
        <r>
          <rPr>
            <sz val="8"/>
            <color indexed="81"/>
            <rFont val="Aptos Display"/>
            <family val="2"/>
          </rPr>
          <t xml:space="preserve">O adicional de férias contido no Submódulo 2.1 corresponde a 1/3 (um terço) da remuneração que por sua vez é divido por 12 (doze) conforme Nota 1 acima.
</t>
        </r>
        <r>
          <rPr>
            <b/>
            <sz val="8"/>
            <color indexed="81"/>
            <rFont val="Aptos Display"/>
            <family val="2"/>
          </rPr>
          <t>Nota 3:</t>
        </r>
        <r>
          <rPr>
            <sz val="8"/>
            <color indexed="81"/>
            <rFont val="Aptos Display"/>
            <family val="2"/>
          </rPr>
          <t xml:space="preserve"> A rubrica férias tem como objetivo principal suprir a necessidade do pagamento das férias remuneradas ao final do contrato de 12 meses, tornando-se custo não renovável após o referido período. Assim, o percentual de 8,33% será suprimido após os 12 meses de vigência do contrato </t>
        </r>
        <r>
          <rPr>
            <b/>
            <sz val="8"/>
            <color indexed="81"/>
            <rFont val="Aptos Display"/>
            <family val="2"/>
          </rPr>
          <t xml:space="preserve">(Incluído pela Instrução Normativa nº 7, de 2018). </t>
        </r>
        <r>
          <rPr>
            <sz val="8"/>
            <color indexed="81"/>
            <rFont val="Aptos Display"/>
            <family val="2"/>
          </rPr>
          <t xml:space="preserve">
</t>
        </r>
      </text>
    </comment>
    <comment ref="A42" authorId="0" shapeId="0" xr:uid="{C8F36E98-69EF-4414-BC1D-94D03E52FDC8}">
      <text>
        <r>
          <rPr>
            <i/>
            <sz val="8"/>
            <color indexed="81"/>
            <rFont val="Segoe UI"/>
            <family val="2"/>
          </rPr>
          <t>Base de Cálculo: Percentual x (Módulo 1 + Submódulo 2.1)</t>
        </r>
      </text>
    </comment>
    <comment ref="C46" authorId="0" shapeId="0" xr:uid="{8C2FA91E-111E-4AD7-A18A-8DAAEB87EDC2}">
      <text>
        <r>
          <rPr>
            <sz val="8"/>
            <color indexed="81"/>
            <rFont val="Aptos"/>
            <family val="2"/>
          </rPr>
          <t>A licitante deve comprovar o percentual que indicou na proposta mediante juntada de certidão que contenha o percentual</t>
        </r>
      </text>
    </comment>
    <comment ref="A58" authorId="0" shapeId="0" xr:uid="{E5872F86-CF98-4A6D-BE58-F99A61201F1E}">
      <text>
        <r>
          <rPr>
            <b/>
            <sz val="8"/>
            <color indexed="81"/>
            <rFont val="Aptos"/>
            <family val="2"/>
          </rPr>
          <t>Nota 1: </t>
        </r>
        <r>
          <rPr>
            <sz val="8"/>
            <color indexed="81"/>
            <rFont val="Aptos"/>
            <family val="2"/>
          </rPr>
          <t xml:space="preserve">O valor informado deverá ser o custo real do benefício (descontado o valor eventualmente pago pelo empregado). 
</t>
        </r>
        <r>
          <rPr>
            <b/>
            <sz val="8"/>
            <color indexed="81"/>
            <rFont val="Aptos"/>
            <family val="2"/>
          </rPr>
          <t xml:space="preserve">
Nota 2: </t>
        </r>
        <r>
          <rPr>
            <sz val="8"/>
            <color indexed="81"/>
            <rFont val="Aptos"/>
            <family val="2"/>
          </rPr>
          <t>Observar a previsão dos benefícios contidos em Acordos, Convenções e Dissídios Coletivos de Trabalho.</t>
        </r>
      </text>
    </comment>
    <comment ref="C81" authorId="0" shapeId="0" xr:uid="{41264D8D-D5EC-4227-8714-F2331FA22AA9}">
      <text>
        <r>
          <rPr>
            <b/>
            <sz val="8"/>
            <color indexed="81"/>
            <rFont val="Aptos"/>
            <family val="2"/>
          </rPr>
          <t>Aviso Prévio Indenizado:</t>
        </r>
        <r>
          <rPr>
            <sz val="8"/>
            <color indexed="81"/>
            <rFont val="Aptos"/>
            <family val="2"/>
          </rPr>
          <t xml:space="preserve"> Percentual cf. Acórdão do TCU nº 1904/2017 - Plenário - Fórmula: ((1/12)* 0,05 ou 5%) = 0,417% - 5% ou 0,05 = percentual estatístico arbitrado de empregados que poderão ser demitidos com Aviso Prévio Indenizado</t>
        </r>
      </text>
    </comment>
    <comment ref="C82" authorId="0" shapeId="0" xr:uid="{910F18CB-94F0-422B-86D8-02BB73DA1545}">
      <text>
        <r>
          <rPr>
            <b/>
            <sz val="8"/>
            <color indexed="81"/>
            <rFont val="Aptos"/>
            <family val="2"/>
          </rPr>
          <t>Incidência do FGTS sobre o Aviso Prévio Indenizado</t>
        </r>
        <r>
          <rPr>
            <sz val="8"/>
            <color indexed="81"/>
            <rFont val="Aptos"/>
            <family val="2"/>
          </rPr>
          <t>: Súmula nº 305 do TST + Acórdão do TCU nº 2217/2010 - Plenário: (8%) x (0,417%) = 0,033%</t>
        </r>
      </text>
    </comment>
    <comment ref="C83" authorId="0" shapeId="0" xr:uid="{8019D1BF-1F9C-4A7C-BB87-61BFD4D6949E}">
      <text>
        <r>
          <rPr>
            <b/>
            <sz val="8"/>
            <color indexed="81"/>
            <rFont val="Aptos"/>
            <family val="2"/>
          </rPr>
          <t>2%</t>
        </r>
        <r>
          <rPr>
            <sz val="8"/>
            <color indexed="81"/>
            <rFont val="Aptos"/>
            <family val="2"/>
          </rPr>
          <t xml:space="preserve">- Anexo XII da IN 5/2017 e Lei nº 13.932 que extinguiu, no art. 12, a Contribuição Social de 10% sobre o FGTS: </t>
        </r>
        <r>
          <rPr>
            <b/>
            <sz val="8"/>
            <color indexed="81"/>
            <rFont val="Aptos"/>
            <family val="2"/>
          </rPr>
          <t xml:space="preserve">para os órgãos que trabalham com Conta Vinculada, a soma das multas do FGTS (itens C + F) deve ser igual a 4% </t>
        </r>
        <r>
          <rPr>
            <sz val="8"/>
            <color indexed="81"/>
            <rFont val="Aptos"/>
            <family val="2"/>
          </rPr>
          <t xml:space="preserve">(Incide sobre o Módulo I- Composição da Remuneração). 
Fundamentação Legal: Lei nº 8.036, de 11 de maio de 1990 (Art. 18, § 1º) com redação dada pela Lei nº 9.491, de 9 de setembro de 1997. </t>
        </r>
      </text>
    </comment>
    <comment ref="C84" authorId="0" shapeId="0" xr:uid="{08C70667-FAAC-4425-B57B-58A8944D3731}">
      <text>
        <r>
          <rPr>
            <b/>
            <sz val="8"/>
            <color indexed="81"/>
            <rFont val="Aptos"/>
            <family val="2"/>
          </rPr>
          <t>Aviso Prévio Trabalhado:</t>
        </r>
        <r>
          <rPr>
            <sz val="8"/>
            <color indexed="81"/>
            <rFont val="Aptos"/>
            <family val="2"/>
          </rPr>
          <t xml:space="preserve"> Percentual cf. Acórdãos do TCU nº 3006/2010 e 1186/2017 - Plenário
Refere-se à indenização de sete dias corridos devida ao empregado no caso de o empregador rescindir o contrato sem justo motivo e conceder aviso prévio, conforme disposto no art. 488 da CLT. (A empresa terá que arcar com esse custo dos sete dias sem o empregado trabalhar)
</t>
        </r>
        <r>
          <rPr>
            <b/>
            <sz val="8"/>
            <color indexed="81"/>
            <rFont val="Aptos"/>
            <family val="2"/>
          </rPr>
          <t>Cálculo:</t>
        </r>
        <r>
          <rPr>
            <sz val="8"/>
            <color indexed="81"/>
            <rFont val="Aptos"/>
            <family val="2"/>
          </rPr>
          <t xml:space="preserve">
{[(7/30)/12]x100} = 1,944%
7 dias de folga / 30 dias / 12 meses (vigência inicial do contrato) = provisão mensal para esse item de custo 
</t>
        </r>
        <r>
          <rPr>
            <b/>
            <sz val="8"/>
            <color indexed="81"/>
            <rFont val="Aptos"/>
            <family val="2"/>
          </rPr>
          <t>Base de cálculo: Remuneração + 13º salário + Férias e Adicional</t>
        </r>
      </text>
    </comment>
    <comment ref="C94" authorId="0" shapeId="0" xr:uid="{589D3656-A928-4EBA-B38A-0E3B54F0CBAC}">
      <text>
        <r>
          <rPr>
            <b/>
            <sz val="8"/>
            <color indexed="81"/>
            <rFont val="Aptos"/>
            <family val="2"/>
          </rPr>
          <t>Demonstrativo de cálculo</t>
        </r>
        <r>
          <rPr>
            <sz val="8"/>
            <color indexed="81"/>
            <rFont val="Aptos"/>
            <family val="2"/>
          </rPr>
          <t xml:space="preserve"> - 1/12 =  rateio de uma remuneração ao longo de 12 meses para o provisionamento do 13º salário; 1/12 =  rateio de uma remuneração ao longo de 12 meses para o provisionamento das Férias; 1/3/12 = rateio do terço constitucional ao longo de 12 meses para o provisionamento do Adicional de Férias;</t>
        </r>
      </text>
    </comment>
    <comment ref="C95" authorId="0" shapeId="0" xr:uid="{1B36B157-4823-433C-95AC-3901C03EF00B}">
      <text>
        <r>
          <rPr>
            <sz val="8"/>
            <color indexed="81"/>
            <rFont val="Aptos"/>
            <family val="2"/>
          </rPr>
          <t>Demonstrativo de cálculo - 2 = nº de dias de faltas por ano estimadas de acordo com dados estatísticos do IBGE; /30 = impacto sobre o mês; /12 = impacto diluído ao longo de 12 meses; 0,556%</t>
        </r>
      </text>
    </comment>
    <comment ref="C96" authorId="0" shapeId="0" xr:uid="{4561B5A3-7787-4E73-9A3D-86DF6E36B556}">
      <text>
        <r>
          <rPr>
            <sz val="8"/>
            <color indexed="81"/>
            <rFont val="Aptos"/>
            <family val="2"/>
          </rPr>
          <t>Demonstrativo de cálculo - 5 = nº de dias de ausência, previstos no art. 7º, inciso XIX da CF, combinado com o art. 10, § 1º dos Atos das Disposições Constitucionais Transitórias- ADCT, o qual concede ao empregado o direito de ausentar-se por cinco dias quando do nascimento de filho; 
/30 = impacto sobre o mês; /12 = impacto diluído ao longo de 12 meses; 2% ou 0,02 = percentual estimado por ano de trabalhadores que são pais, de acordo com dados estatísticos do IBGE;</t>
        </r>
      </text>
    </comment>
    <comment ref="C97" authorId="0" shapeId="0" xr:uid="{909EB209-53CD-495D-8B97-D558F8C004F5}">
      <text>
        <r>
          <rPr>
            <b/>
            <sz val="8"/>
            <color indexed="81"/>
            <rFont val="Aptos"/>
            <family val="2"/>
          </rPr>
          <t xml:space="preserve">Demonstrativo de cálculo </t>
        </r>
        <r>
          <rPr>
            <sz val="8"/>
            <color indexed="81"/>
            <rFont val="Aptos"/>
            <family val="2"/>
          </rPr>
          <t>- 15 = dias de ausência coberta pelo empregador. A Lei n° 8.213/91, que dispõe sobre os Planos de Benefícios da Previdência, em seu art. 60, § 3º, obriga o empregador a assumir o ônus financeiro pelo prazo de 15 dias, no caso de acidente de trabalho previsto no art. 131 da CLT. A ausência após os 15 dias ficará a cargo do INSS. 
/30 = impacto sobre o mês; /12 = impacto diluído ao longo de 12 meses; 7,8% ou 0,078 = segundo o IBGE, cerca de quase 8% dos empregados (nível nacional) sofrem acidente durante o ano;</t>
        </r>
      </text>
    </comment>
    <comment ref="C98" authorId="0" shapeId="0" xr:uid="{914C09F7-B986-4F4F-8EB1-3EB7204295CD}">
      <text>
        <r>
          <rPr>
            <b/>
            <sz val="8"/>
            <color indexed="81"/>
            <rFont val="Aptos"/>
            <family val="2"/>
          </rPr>
          <t>Demonstrativo de cálculo</t>
        </r>
        <r>
          <rPr>
            <sz val="8"/>
            <color indexed="81"/>
            <rFont val="Aptos"/>
            <family val="2"/>
          </rPr>
          <t xml:space="preserve"> - ((1+1/3)/12) = provisionamento relativo às férias + terço constitucional do empregado substituto, proporcionais aos 120 dias de afastamento da empregada em licença maternidade; 2% ou 0,02 = percentual estimado da ocorrência da licença maternidade ao ano, de acordo com dados estatísticos do IBGE; 4/12 = 4 meses de licença maternidade por ano; 0,074% ou 0,00074</t>
        </r>
      </text>
    </comment>
    <comment ref="D106" authorId="0" shapeId="0" xr:uid="{C5816701-FFB3-41AF-808C-1A1BDFCA63B1}">
      <text>
        <r>
          <rPr>
            <sz val="8"/>
            <color indexed="81"/>
            <rFont val="Aptos"/>
            <family val="2"/>
          </rPr>
          <t>Não há previsão, para esta contratação, de substituto na cobertura de Intervalo para repouso ou alimentação.</t>
        </r>
        <r>
          <rPr>
            <b/>
            <sz val="8"/>
            <color indexed="81"/>
            <rFont val="Aptos"/>
            <family val="2"/>
          </rPr>
          <t xml:space="preserve"> Portanto, este custo deve estar zerado na planilha estimativa.</t>
        </r>
      </text>
    </comment>
    <comment ref="B116" authorId="0" shapeId="0" xr:uid="{AD03659D-8F93-405F-8AA1-E2C6F9E3E0D2}">
      <text>
        <r>
          <rPr>
            <b/>
            <i/>
            <sz val="8"/>
            <color indexed="81"/>
            <rFont val="Aptos"/>
            <family val="2"/>
          </rPr>
          <t>Nota:</t>
        </r>
        <r>
          <rPr>
            <i/>
            <sz val="8"/>
            <color indexed="81"/>
            <rFont val="Aptos"/>
            <family val="2"/>
          </rPr>
          <t> Valores mensais por posto/empregado.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<sst xmlns="http://schemas.openxmlformats.org/spreadsheetml/2006/main" count="1406" uniqueCount="447">
  <si>
    <r>
      <t>Notas</t>
    </r>
    <r>
      <rPr>
        <sz val="12"/>
        <color indexed="8"/>
        <rFont val="Ecofont_Spranq_eco_Sans"/>
        <family val="2"/>
      </rPr>
      <t>:</t>
    </r>
  </si>
  <si>
    <r>
      <t>1)</t>
    </r>
    <r>
      <rPr>
        <sz val="12"/>
        <color indexed="8"/>
        <rFont val="Times New Roman"/>
        <family val="1"/>
      </rPr>
      <t xml:space="preserve">  </t>
    </r>
    <r>
      <rPr>
        <sz val="12"/>
        <color indexed="8"/>
        <rFont val="Ecofont_Spranq_eco_Sans"/>
        <family val="2"/>
      </rPr>
      <t>O Imposto de Renda de Pessoa Jurídica - IRPJ - e a Contribuição Social sobre o Lucro Líquido - CSLL -, que não podem ser repassados à Administração, não serão incluídos na proposta de preços apresentada;</t>
    </r>
  </si>
  <si>
    <r>
      <t>N</t>
    </r>
    <r>
      <rPr>
        <strike/>
        <sz val="12"/>
        <color indexed="8"/>
        <rFont val="Ecofont_Spranq_eco_Sans"/>
        <family val="2"/>
      </rPr>
      <t>º</t>
    </r>
    <r>
      <rPr>
        <sz val="12"/>
        <color indexed="8"/>
        <rFont val="Ecofont_Spranq_eco_Sans"/>
        <family val="2"/>
      </rPr>
      <t xml:space="preserve"> Processo</t>
    </r>
  </si>
  <si>
    <r>
      <t>Licitação N</t>
    </r>
    <r>
      <rPr>
        <strike/>
        <sz val="12"/>
        <color indexed="8"/>
        <rFont val="Ecofont_Spranq_eco_Sans"/>
        <family val="2"/>
      </rPr>
      <t>º</t>
    </r>
    <r>
      <rPr>
        <sz val="12"/>
        <color indexed="8"/>
        <rFont val="Ecofont_Spranq_eco_Sans"/>
        <family val="2"/>
      </rPr>
      <t xml:space="preserve"> </t>
    </r>
  </si>
  <si>
    <t>CUSTO DO HOMEM FIXO – A</t>
  </si>
  <si>
    <t>       Discriminação dos Serviços (dados referentes à contratação)</t>
  </si>
  <si>
    <t>A</t>
  </si>
  <si>
    <t xml:space="preserve">Data de apresentação da proposta (dia/mês/ano) </t>
  </si>
  <si>
    <t>B</t>
  </si>
  <si>
    <t xml:space="preserve">Município/UF </t>
  </si>
  <si>
    <t>C</t>
  </si>
  <si>
    <t>Ano Acordo, Convenção ou Sentença Normativa em Dissídio Coletivo</t>
  </si>
  <si>
    <t>D</t>
  </si>
  <si>
    <t xml:space="preserve">Tipo de serviço </t>
  </si>
  <si>
    <t>E</t>
  </si>
  <si>
    <t xml:space="preserve">Unidade de medida </t>
  </si>
  <si>
    <t>POSTO</t>
  </si>
  <si>
    <t>F</t>
  </si>
  <si>
    <r>
      <t xml:space="preserve">Quantidade </t>
    </r>
    <r>
      <rPr>
        <i/>
        <u/>
        <sz val="12"/>
        <color indexed="8"/>
        <rFont val="Ecofont_Spranq_eco_Sans"/>
        <family val="2"/>
      </rPr>
      <t>(total)</t>
    </r>
    <r>
      <rPr>
        <sz val="12"/>
        <color indexed="8"/>
        <rFont val="Ecofont_Spranq_eco_Sans"/>
        <family val="2"/>
      </rPr>
      <t xml:space="preserve"> a contratar (em função da unidade de medida) </t>
    </r>
  </si>
  <si>
    <t>G</t>
  </si>
  <si>
    <r>
      <t>N</t>
    </r>
    <r>
      <rPr>
        <strike/>
        <sz val="12"/>
        <color indexed="8"/>
        <rFont val="Ecofont_Spranq_eco_Sans"/>
        <family val="2"/>
      </rPr>
      <t>º</t>
    </r>
    <r>
      <rPr>
        <sz val="12"/>
        <color indexed="8"/>
        <rFont val="Ecofont_Spranq_eco_Sans"/>
        <family val="2"/>
      </rPr>
      <t xml:space="preserve"> de meses de execução contratual</t>
    </r>
  </si>
  <si>
    <t>Anexo I-A – Mão-de-obra</t>
  </si>
  <si>
    <t>Módulo de Mão-de-obra vinculada à execução contratual</t>
  </si>
  <si>
    <t>Unidade de medida – tipos e quantidades</t>
  </si>
  <si>
    <r>
      <t xml:space="preserve">Tipo de serviço 
</t>
    </r>
    <r>
      <rPr>
        <sz val="12"/>
        <color indexed="8"/>
        <rFont val="Ecofont_Spranq_eco_Sans"/>
        <family val="2"/>
      </rPr>
      <t>(mesmo serviço com características distintas)</t>
    </r>
  </si>
  <si>
    <r>
      <t> </t>
    </r>
    <r>
      <rPr>
        <b/>
        <sz val="12"/>
        <color indexed="8"/>
        <rFont val="Ecofont_Spranq_eco_Sans"/>
        <family val="2"/>
      </rPr>
      <t>Quantidade</t>
    </r>
  </si>
  <si>
    <t>-</t>
  </si>
  <si>
    <t>Dados complementares para composição dos custos referente à mão-de-obra</t>
  </si>
  <si>
    <t>Salário mínimo oficial vigente piso da categoria</t>
  </si>
  <si>
    <t>Categoria profissional (vinculada à execução contratual)</t>
  </si>
  <si>
    <t>Data base da categoria (dia/mês/ano)</t>
  </si>
  <si>
    <t>Nota: Deverão ser informados os valores unitários por empregado.</t>
  </si>
  <si>
    <t>I</t>
  </si>
  <si>
    <t>Remuneração</t>
  </si>
  <si>
    <t> %</t>
  </si>
  <si>
    <t>Valor (R$)</t>
  </si>
  <si>
    <t xml:space="preserve">A </t>
  </si>
  <si>
    <t>Salário</t>
  </si>
  <si>
    <t>Outros</t>
  </si>
  <si>
    <t>Total de Remuneração</t>
  </si>
  <si>
    <t>Anexo I-B</t>
  </si>
  <si>
    <t>Quadro com Detalhamento de Encargos Sociais e Trabalhistas</t>
  </si>
  <si>
    <t>Grupo "A":</t>
  </si>
  <si>
    <t>%</t>
  </si>
  <si>
    <t>R$</t>
  </si>
  <si>
    <t>INSS</t>
  </si>
  <si>
    <t>SESI ou SESC</t>
  </si>
  <si>
    <t>SENAI ou SENAC </t>
  </si>
  <si>
    <t>INCRA</t>
  </si>
  <si>
    <t>salário educação</t>
  </si>
  <si>
    <t>FGTS</t>
  </si>
  <si>
    <t>Seguro acidente do trabalho</t>
  </si>
  <si>
    <t>SEBRAE</t>
  </si>
  <si>
    <t>TOTAL DO GRUPO “A”</t>
  </si>
  <si>
    <t xml:space="preserve">Grupo "B": </t>
  </si>
  <si>
    <t>férias</t>
  </si>
  <si>
    <t>auxílio doença</t>
  </si>
  <si>
    <t>licença maternidade</t>
  </si>
  <si>
    <t>licença paternidade</t>
  </si>
  <si>
    <t>faltas legais</t>
  </si>
  <si>
    <t xml:space="preserve"> acidente de trabalho</t>
  </si>
  <si>
    <t>aviso prévio</t>
  </si>
  <si>
    <t>13º salário</t>
  </si>
  <si>
    <t xml:space="preserve">TOTAL DO GRUPO “B” </t>
  </si>
  <si>
    <t>Grupo "C":</t>
  </si>
  <si>
    <t>aviso prévio indenizado </t>
  </si>
  <si>
    <t>indenização adicional</t>
  </si>
  <si>
    <t>indenização (rescisões sem justa causa)</t>
  </si>
  <si>
    <t xml:space="preserve">TOTAL DO GRUPO “C” </t>
  </si>
  <si>
    <t>Grupo "D":</t>
  </si>
  <si>
    <t>incidência dos encargos do grupo "A" sobre os itens do grupo "B"  </t>
  </si>
  <si>
    <t>Grupo "E":</t>
  </si>
  <si>
    <t>incidência dos encargos do grupo “A”sobre o item 17  do grupo   “C”</t>
  </si>
  <si>
    <t>VALOR DOS ENCARGOS SOCIAIS</t>
  </si>
  <si>
    <t>VALOR DA MÃO-DE-OBRA (Remuneração + Encargos Sociais):</t>
  </si>
  <si>
    <t>Anexo I-C – Insumos de Mão-de-Obra</t>
  </si>
  <si>
    <t>II</t>
  </si>
  <si>
    <t>Insumos de Mão-de-obra(*)</t>
  </si>
  <si>
    <t>Transporte</t>
  </si>
  <si>
    <t>Auxílio alimentação (Vales, cesta básica etc.)</t>
  </si>
  <si>
    <t>Uniformes</t>
  </si>
  <si>
    <t xml:space="preserve">Equipamentos </t>
  </si>
  <si>
    <t>Seguro de vida</t>
  </si>
  <si>
    <t>Outros (especificar)</t>
  </si>
  <si>
    <t>Total de Insumos de Mão-de-obra</t>
  </si>
  <si>
    <r>
      <rPr>
        <b/>
        <i/>
        <sz val="11"/>
        <color indexed="8"/>
        <rFont val="Ecofont_Spranq_eco_Sans"/>
        <family val="2"/>
      </rPr>
      <t>Nota</t>
    </r>
    <r>
      <rPr>
        <i/>
        <sz val="11"/>
        <color indexed="8"/>
        <rFont val="Ecofont_Spranq_eco_Sans"/>
        <family val="2"/>
      </rPr>
      <t xml:space="preserve"> (*): o valor informado deverá ser o custo real do insumo (descontado o valor eventualmente pago pelo empregado).</t>
    </r>
  </si>
  <si>
    <t>Anexo I-D – Quadro-resumo</t>
  </si>
  <si>
    <t>Quadro-resumo da Remuneração da Mão de Obra</t>
  </si>
  <si>
    <t>III</t>
  </si>
  <si>
    <t>Mão-de-obra vinculada à execução contratual 
(valor por empregado)</t>
  </si>
  <si>
    <t>Valor unit. (R$)</t>
  </si>
  <si>
    <t>Encargos sociais</t>
  </si>
  <si>
    <t>Insumos de mão-de-obra</t>
  </si>
  <si>
    <t>Total de Mão-de-obra</t>
  </si>
  <si>
    <t>Anexo I-E – Demais Custos</t>
  </si>
  <si>
    <t xml:space="preserve">Módulo I: Demais componentes </t>
  </si>
  <si>
    <t>Demais Componentes</t>
  </si>
  <si>
    <t>Valor*</t>
  </si>
  <si>
    <t>Despesas Operacionais/administrativas</t>
  </si>
  <si>
    <t>Lucro</t>
  </si>
  <si>
    <t>Total de Demais Componentes</t>
  </si>
  <si>
    <t>Módulo II: Tributos</t>
  </si>
  <si>
    <t>Tributos</t>
  </si>
  <si>
    <t xml:space="preserve">Tributos Federais </t>
  </si>
  <si>
    <t>COFINS</t>
  </si>
  <si>
    <t>PIS</t>
  </si>
  <si>
    <t>Tributos Estaduais/Municipais</t>
  </si>
  <si>
    <t>ISSQN</t>
  </si>
  <si>
    <t>Total de Tributos</t>
  </si>
  <si>
    <t>índice:        Fórmula = 1 - (total de tributos% / 100%)    =</t>
  </si>
  <si>
    <t xml:space="preserve">Quadro-Resumo do Valor da Contratação </t>
  </si>
  <si>
    <t>Valor Mensal Total ref. Mão-de-obra vinculada à execução Contratual</t>
  </si>
  <si>
    <t>Unid / Elementos</t>
  </si>
  <si>
    <t>Valor</t>
  </si>
  <si>
    <t xml:space="preserve">Mão-de-obra (vinculada à execução dos serviços) </t>
  </si>
  <si>
    <r>
      <t>Demais componentes</t>
    </r>
    <r>
      <rPr>
        <b/>
        <sz val="12"/>
        <color indexed="10"/>
        <rFont val="Ecofont_Spranq_eco_Sans"/>
        <family val="2"/>
      </rPr>
      <t/>
    </r>
  </si>
  <si>
    <t xml:space="preserve">Tributos </t>
  </si>
  <si>
    <t xml:space="preserve">Preço do Homem/Mês </t>
  </si>
  <si>
    <t>Valor Mensal da proposta</t>
  </si>
  <si>
    <r>
      <rPr>
        <b/>
        <sz val="12"/>
        <color indexed="8"/>
        <rFont val="Ecofont_Spranq_eco_Sans"/>
        <family val="2"/>
      </rPr>
      <t>Valor global da proposta</t>
    </r>
    <r>
      <rPr>
        <sz val="12"/>
        <color indexed="8"/>
        <rFont val="Ecofont_Spranq_eco_Sans"/>
        <family val="2"/>
      </rPr>
      <t xml:space="preserve">
(valor mensal do serviço x  12 meses)</t>
    </r>
  </si>
  <si>
    <r>
      <t xml:space="preserve"> </t>
    </r>
    <r>
      <rPr>
        <b/>
        <sz val="16"/>
        <color theme="1"/>
        <rFont val="Ecofont_Spranq_eco_Sans"/>
        <family val="2"/>
      </rPr>
      <t>VALOR DA CONTRATAÇÃO POR UNIDADE DA AGU</t>
    </r>
  </si>
  <si>
    <t>UNIDADE DA AGU</t>
  </si>
  <si>
    <t>CATEGORIA</t>
  </si>
  <si>
    <t>TOTAL MENSAL</t>
  </si>
  <si>
    <t>Valor mensal do serviço</t>
  </si>
  <si>
    <r>
      <rPr>
        <b/>
        <sz val="12"/>
        <color indexed="8"/>
        <rFont val="Ecofont_Spranq_eco_Sans"/>
        <family val="2"/>
      </rPr>
      <t>Valor global da proposta</t>
    </r>
    <r>
      <rPr>
        <sz val="12"/>
        <color indexed="8"/>
        <rFont val="Ecofont_Spranq_eco_Sans"/>
        <family val="2"/>
      </rPr>
      <t xml:space="preserve">
(valor mensal do serviço x  nº meses do contrato)</t>
    </r>
  </si>
  <si>
    <t xml:space="preserve">PORTARIA </t>
  </si>
  <si>
    <t>PLANILHA DE CUSTOS E FORMAÇÃO DE PREÇOS - SERVIÇO DE APOIO ADMINISTRATIVO</t>
  </si>
  <si>
    <t>PSU/PTA</t>
  </si>
  <si>
    <t>Preço Mensal do Posto</t>
  </si>
  <si>
    <t>Qtd. /postos</t>
  </si>
  <si>
    <t>Portaria</t>
  </si>
  <si>
    <t>PORTARIA - PETROLINA</t>
  </si>
  <si>
    <t xml:space="preserve">ANEXO I - B    ITEM -I                                                                                                    </t>
  </si>
  <si>
    <t/>
  </si>
  <si>
    <t>H</t>
  </si>
  <si>
    <t>Subtotal</t>
  </si>
  <si>
    <t>Valor Unitário do Vale transporte</t>
  </si>
  <si>
    <t>número de dias trabalhados/mês</t>
  </si>
  <si>
    <t xml:space="preserve">Custo Mensal </t>
  </si>
  <si>
    <t>Valor diário</t>
  </si>
  <si>
    <t xml:space="preserve">dias trabalhados </t>
  </si>
  <si>
    <t xml:space="preserve">% de Desconto </t>
  </si>
  <si>
    <t>(R$)</t>
  </si>
  <si>
    <t>TIPO DE ÁREA</t>
  </si>
  <si>
    <t>Qualificação do Empregado</t>
  </si>
  <si>
    <t>Periodicidade</t>
  </si>
  <si>
    <t>Resumo do Nº de Empregados Disponibilizados</t>
  </si>
  <si>
    <t>Nº Total de Empregados Disponibilizados</t>
  </si>
  <si>
    <t>(m²)</t>
  </si>
  <si>
    <t>(m² / dia)</t>
  </si>
  <si>
    <t>Diária</t>
  </si>
  <si>
    <t>Total</t>
  </si>
  <si>
    <t>MÃO DE OBRA</t>
  </si>
  <si>
    <t>(1 x 2)</t>
  </si>
  <si>
    <t>PRODUTIVIDADE*</t>
  </si>
  <si>
    <t>PREÇO HOMEM-MÊS</t>
  </si>
  <si>
    <t>SUBTOTAL</t>
  </si>
  <si>
    <t>(R$/M2)</t>
  </si>
  <si>
    <t>SERVENTE</t>
  </si>
  <si>
    <t>__1__</t>
  </si>
  <si>
    <t>2.1</t>
  </si>
  <si>
    <t>2.2</t>
  </si>
  <si>
    <t>2.3</t>
  </si>
  <si>
    <t>4.1</t>
  </si>
  <si>
    <t>4.2</t>
  </si>
  <si>
    <t>Materiais</t>
  </si>
  <si>
    <t>GPS, FGTS e outras contribuições</t>
  </si>
  <si>
    <t>Aviso Prévio Indenizado</t>
  </si>
  <si>
    <t>Adicional de Periculosidade</t>
  </si>
  <si>
    <t>Adicional de Insalubridade</t>
  </si>
  <si>
    <t>Unidade de Medida</t>
  </si>
  <si>
    <t>Área Total Contratada</t>
  </si>
  <si>
    <t>PROPOSTA DE PREÇOS</t>
  </si>
  <si>
    <t>3. Endereço:</t>
  </si>
  <si>
    <t>4. CEP.:</t>
  </si>
  <si>
    <t>Agência:</t>
  </si>
  <si>
    <t>Conta Corrente:</t>
  </si>
  <si>
    <t>E-mail:</t>
  </si>
  <si>
    <t>Declarações:</t>
  </si>
  <si>
    <t>Declaramos expressamente que nos preços propostos encontram-se incluídas todas as despesas diretas e indiretas, tributos incidentes, encargos sociais, previdenciários, trabalhistas e comerciais, custos operacionais, fardamentas, vale transporte, além daqueles previstos pelas normas da categoria aplicada, frete, seguros e demais despesas e quaisquer outros ônus que porventura possam recair sobre o fornecimento do objeto da presente licitação.</t>
  </si>
  <si>
    <t>Declaramos que tomamos conhecimento de todas as informações necessárias para elaboração das nossas planilhas de formação de preços para atender as necessidades em conformidade com as especificações contidas no Anexo I - Termo de Referência do Edital.</t>
  </si>
  <si>
    <t>Dados do Representante Legal da Empresa para assinatura do Contrato:</t>
  </si>
  <si>
    <t>1. Nome:</t>
  </si>
  <si>
    <t>2. CPF.:</t>
  </si>
  <si>
    <t>4. Cargo/Função:</t>
  </si>
  <si>
    <t>Naturalidade:</t>
  </si>
  <si>
    <t>Nacionalidade:</t>
  </si>
  <si>
    <t>Estado Cívil:</t>
  </si>
  <si>
    <t>VALOR MENSAL DA PROPOSTA =</t>
  </si>
  <si>
    <t>Área Interna - Piso frio e acarpetado</t>
  </si>
  <si>
    <t>Área Externa - Pisos pavimentados adjacentes</t>
  </si>
  <si>
    <t>Área Externa - Varrição de passeios e arruamentos</t>
  </si>
  <si>
    <t>Produtividade adotada</t>
  </si>
  <si>
    <t>ÁREA INTERNA - PISO FRIO / PISO ACARPETADO</t>
  </si>
  <si>
    <t>ÁREA EXTERNA - PISO ADJACENTE</t>
  </si>
  <si>
    <t>ÁREA EXTERNA - PASSEIO / ARRUAMENTO</t>
  </si>
  <si>
    <t>Razão Social:</t>
  </si>
  <si>
    <t>CNPJ Nº</t>
  </si>
  <si>
    <t>Endereço:</t>
  </si>
  <si>
    <t>CEP.:</t>
  </si>
  <si>
    <t>Banco:</t>
  </si>
  <si>
    <t>Telefone</t>
  </si>
  <si>
    <t>Validade 
da Proposta:</t>
  </si>
  <si>
    <t>COPEIRA</t>
  </si>
  <si>
    <t>Vale Refeição</t>
  </si>
  <si>
    <r>
      <t xml:space="preserve">SERVIÇO PÚBLICO FEDERAL
</t>
    </r>
    <r>
      <rPr>
        <sz val="10"/>
        <color theme="1"/>
        <rFont val="Aptos"/>
        <family val="2"/>
      </rPr>
      <t>CONSELHO REGIONAL DE QUÍMICA IV REGIÃO – SÃO PAULO
RUA OSCAR FREIRE, 2039 – PINHEIROS – 05409-011 – SÃO PAULO/SP
WWW.CRQSP.ORG.BR</t>
    </r>
  </si>
  <si>
    <r>
      <rPr>
        <b/>
        <sz val="11"/>
        <color theme="1"/>
        <rFont val="Aptos"/>
        <family val="2"/>
      </rPr>
      <t>Demonstrativos dos encargos trabalhistas de que trata o ANEXO XII da IN05/17</t>
    </r>
    <r>
      <rPr>
        <sz val="11"/>
        <color theme="1"/>
        <rFont val="Aptos"/>
        <family val="2"/>
      </rPr>
      <t xml:space="preserve">, em relação à mão de obra das empresas contratadas para prestar serviços de forma contínua, por meio de dedicação exclusiva de mão de obra, </t>
    </r>
    <r>
      <rPr>
        <b/>
        <sz val="11"/>
        <color theme="1"/>
        <rFont val="Aptos"/>
        <family val="2"/>
      </rPr>
      <t>a serem destacadas do valor mensal do contrato e depositadas pela Administração em Conta-Depósito Vinculada ― bloqueada para movimentaçã</t>
    </r>
    <r>
      <rPr>
        <sz val="11"/>
        <color theme="1"/>
        <rFont val="Aptos"/>
        <family val="2"/>
      </rPr>
      <t>o, aberta em nome do prestador de serviço.</t>
    </r>
  </si>
  <si>
    <t>Item</t>
  </si>
  <si>
    <t>Descrição</t>
  </si>
  <si>
    <t>Retenções (%)</t>
  </si>
  <si>
    <r>
      <t>Férias e 1/3 Constitucional (sobre remuneração)</t>
    </r>
    <r>
      <rPr>
        <vertAlign val="superscript"/>
        <sz val="11"/>
        <color rgb="FFC00000"/>
        <rFont val="Aptos"/>
        <family val="2"/>
      </rPr>
      <t>*1</t>
    </r>
  </si>
  <si>
    <r>
      <t>13º Salário (sobre remuneração)</t>
    </r>
    <r>
      <rPr>
        <vertAlign val="superscript"/>
        <sz val="11"/>
        <color rgb="FFC00000"/>
        <rFont val="Aptos"/>
        <family val="2"/>
      </rPr>
      <t>*2</t>
    </r>
  </si>
  <si>
    <t xml:space="preserve">Subtotal das provisões </t>
  </si>
  <si>
    <r>
      <t>Incidência do submódulo 2.2 (sobre a remuneração)</t>
    </r>
    <r>
      <rPr>
        <vertAlign val="superscript"/>
        <sz val="11"/>
        <color rgb="FFC00000"/>
        <rFont val="Aptos"/>
        <family val="2"/>
      </rPr>
      <t>*3</t>
    </r>
  </si>
  <si>
    <r>
      <t>Indenização - Rescisões sem justa causa - Multa do FGTS (sobre remuneração)</t>
    </r>
    <r>
      <rPr>
        <vertAlign val="superscript"/>
        <sz val="11"/>
        <color rgb="FFC00000"/>
        <rFont val="Aptos"/>
        <family val="2"/>
      </rPr>
      <t>*4</t>
    </r>
  </si>
  <si>
    <t>Percentual da Retenção Mensal por Posto/Cargo/Profissional (sobre remuneração)</t>
  </si>
  <si>
    <r>
      <rPr>
        <b/>
        <sz val="11"/>
        <color rgb="FFC00000"/>
        <rFont val="Aptos"/>
        <family val="2"/>
      </rPr>
      <t xml:space="preserve">*1 </t>
    </r>
    <r>
      <rPr>
        <sz val="11"/>
        <color theme="1"/>
        <rFont val="Aptos"/>
        <family val="2"/>
      </rPr>
      <t>-  Férias e 1/3 Constitucional, conforme item 14 do Anexo XII da IN n. 5/2017 e Acordão 2161/2021 - TCU - Plenário</t>
    </r>
  </si>
  <si>
    <r>
      <rPr>
        <b/>
        <sz val="11"/>
        <color rgb="FFC00000"/>
        <rFont val="Aptos"/>
        <family val="2"/>
      </rPr>
      <t xml:space="preserve">*2 </t>
    </r>
    <r>
      <rPr>
        <sz val="11"/>
        <color rgb="FFC00000"/>
        <rFont val="Aptos"/>
        <family val="2"/>
      </rPr>
      <t>-</t>
    </r>
    <r>
      <rPr>
        <sz val="11"/>
        <color theme="1"/>
        <rFont val="Aptos"/>
        <family val="2"/>
      </rPr>
      <t xml:space="preserve"> 13º Salário , conforme item 14 do Anexo XII da IN n. 5/2017</t>
    </r>
  </si>
  <si>
    <r>
      <rPr>
        <b/>
        <sz val="11"/>
        <color rgb="FFC00000"/>
        <rFont val="Aptos"/>
        <family val="2"/>
      </rPr>
      <t xml:space="preserve">*3 -  </t>
    </r>
    <r>
      <rPr>
        <sz val="11"/>
        <color theme="1"/>
        <rFont val="Aptos"/>
        <family val="2"/>
      </rPr>
      <t>A incidência recai sobre as verbas de 13º salário, férias e 1/3 constitucional, variando de acordo com a RAT e FAP ajustada da empresa.</t>
    </r>
  </si>
  <si>
    <t>Memória de cálculo da incidência = (% total do submódulo 2.2 * 20,43%)/100</t>
  </si>
  <si>
    <r>
      <rPr>
        <b/>
        <sz val="11"/>
        <color rgb="FFC00000"/>
        <rFont val="Aptos"/>
        <family val="2"/>
      </rPr>
      <t>*4</t>
    </r>
    <r>
      <rPr>
        <sz val="11"/>
        <color theme="1"/>
        <rFont val="Aptos"/>
        <family val="2"/>
      </rPr>
      <t xml:space="preserve"> - Lei nº 13.932, de 11 de dezembro de 2019: "Art. 12. A partir de 1º de janeiro de 2020, fica extinta a contribuição social instituída por meio do art. 1º da Lei Complementar nº 110, de 29 de junho de 2001". Ou seja, o percentual de " Multa sobre FGTS e contribuição social sobre o aviso prévio indenizado e sobre o aviso prévio trabalhado", constante na Conta-Depósito Vinculada - Bloqueada para Movimentação do item 14 do Anexo XII da IN nº 5, de 2017,  passa a ser de 4% (quatro por cento) ao invés de 5% (cinco por cento) 
Vide : "https://www.gov.br/compras/pt-br/agente-publico/orientacoes-e-procedimentos/26-extincao-da-contribuicao-social-de-10-sobre-o-fgts-e-os-contratos-administrativos#:~:text=A%20partir%20de%201%C2%BA%20de,29%20de%20junho%20de%202001.%22"
</t>
    </r>
  </si>
  <si>
    <t>Município de ___________, ______ de _____________ de 2026</t>
  </si>
  <si>
    <r>
      <rPr>
        <b/>
        <sz val="12"/>
        <color rgb="FFC00000"/>
        <rFont val="Aptos"/>
        <family val="2"/>
      </rPr>
      <t>*</t>
    </r>
    <r>
      <rPr>
        <b/>
        <sz val="12"/>
        <color theme="4" tint="-0.499984740745262"/>
        <rFont val="Aptos"/>
        <family val="2"/>
      </rPr>
      <t>OBSERVAÇÕES:</t>
    </r>
  </si>
  <si>
    <r>
      <rPr>
        <b/>
        <sz val="9"/>
        <color rgb="FFC00000"/>
        <rFont val="Aptos"/>
        <family val="2"/>
      </rPr>
      <t>*</t>
    </r>
    <r>
      <rPr>
        <b/>
        <sz val="9"/>
        <color theme="1"/>
        <rFont val="Aptos"/>
        <family val="2"/>
      </rPr>
      <t>A licitante sera responsável pelo preenchimento correto desta planilha, bem como será de sua responsabilidade realizar a conferência das fórmulas automatizadas e porcentagens aqui dispostas, verificanso se estão em conformidade com as disposições da CLT, CCT e legislações aplicáveis, minimizando o risco de equívocos no cômputo das previsões financeiras, eximindo a Contratante de quaisquer erros cometidos no preenchimento e apresentação da proposta comercial.</t>
    </r>
  </si>
  <si>
    <t>Data de Apresentação da Proposta (Dia/Mês/Ano):</t>
  </si>
  <si>
    <t>Município/UF:</t>
  </si>
  <si>
    <t>São Paulo</t>
  </si>
  <si>
    <t>Tipo de Serviço (CATSER)</t>
  </si>
  <si>
    <t>Classificação Brasileira de Ocupações (CBO)</t>
  </si>
  <si>
    <t>Categoria Profissional (vinculada à execução contratual)</t>
  </si>
  <si>
    <t>Salário Normativo da Categoria Profissional</t>
  </si>
  <si>
    <t>J</t>
  </si>
  <si>
    <t>Mês e Ano da CCT/Sentença Normativa/Dissídio:</t>
  </si>
  <si>
    <t>L</t>
  </si>
  <si>
    <t>Data Base da Categoria</t>
  </si>
  <si>
    <t>JANEIRO</t>
  </si>
  <si>
    <t>Número de Meses de Execução Contratual:</t>
  </si>
  <si>
    <t>24 (vinte e quatro) meses</t>
  </si>
  <si>
    <t>PLANILHA DE CUSTOS E FORMAÇÃO DE PREÇOS DO SERVIÇO DE PORTARIA NO CRQ-SP</t>
  </si>
  <si>
    <t>Dados para composição dos custos referentes a mão de obra</t>
  </si>
  <si>
    <t>Módulo 1 - Composição da Remuneração</t>
  </si>
  <si>
    <t>Composição da Remuneração</t>
  </si>
  <si>
    <t>Salário-Base</t>
  </si>
  <si>
    <t>Total Módulo 1 - Remuneração</t>
  </si>
  <si>
    <t>Módulo 2 - Encargos e Benefícios Anuais, Mensais e Diários</t>
  </si>
  <si>
    <t> Submódulo 2.1 - 13º (décimo terceiro) Salário, Férias e Adicional de Férias</t>
  </si>
  <si>
    <t>13º (décimo terceiro) Salário, Férias e Adicional de Férias</t>
  </si>
  <si>
    <t>Percentual (%)</t>
  </si>
  <si>
    <t>13º (décimo terceiro) Salário</t>
  </si>
  <si>
    <t>Férias e Adicional de Férias</t>
  </si>
  <si>
    <t>Total  Submódulo 2.1</t>
  </si>
  <si>
    <t>Submódulo 2.2 - Encargos Previdenciários (GPS), Fundo de Garantia por Tempo de Serviço (FGTS) e outras contribuições.</t>
  </si>
  <si>
    <t>Salário Educação</t>
  </si>
  <si>
    <t>RAT Ajustado ( Ajusar RAT x FAP)do FAP.</t>
  </si>
  <si>
    <t>SESC ou SESI</t>
  </si>
  <si>
    <t>SENAI - SENAC</t>
  </si>
  <si>
    <t>Nota 1: O percentual do INSS poderá sofrer alteração de acordo com a "Desoneração da Folha de Pagamento". (Lei 12.546/2011 e suas alterações).</t>
  </si>
  <si>
    <t>Nota 2: Os percentuais dos encargos previdenciários, do FGTS e demais contribuições são aqueles estabelecidos pela legislação vigente.</t>
  </si>
  <si>
    <t>Nota 3: O RAT a depender do grau de risco do serviço irá variar entre 1%, para risco leve, de 2%, para risco médio, e de 3% de risco grave. Deverá ser ajustado ao fator acidentário previdenciário (FAP).</t>
  </si>
  <si>
    <r>
      <t xml:space="preserve">Nota 4: Esses percentuais incidem sobre o Módulo 1 e o Submódulo 2.1. </t>
    </r>
    <r>
      <rPr>
        <b/>
        <sz val="8"/>
        <color theme="1"/>
        <rFont val="Aptos"/>
        <family val="2"/>
      </rPr>
      <t>(Redação dada pela Instrução Normativa nº 7, de 2018).</t>
    </r>
  </si>
  <si>
    <t>Submódulo 2.3 - Benefícios Mensais e Diários.</t>
  </si>
  <si>
    <t>Benefícios Mensais e Diários</t>
  </si>
  <si>
    <t>Dias úteis/mês</t>
  </si>
  <si>
    <t xml:space="preserve">Auxilio Transporte </t>
  </si>
  <si>
    <t>Auxílio-Refeição</t>
  </si>
  <si>
    <t>Auxílio-Alimentação /Cesta básica</t>
  </si>
  <si>
    <t>Assistência Médica e Familiar</t>
  </si>
  <si>
    <t>Assistência Odontológica</t>
  </si>
  <si>
    <t>Assistência Funeral e Seguro de Vida</t>
  </si>
  <si>
    <t>Quadro-Resumo do Módulo 2 - Encargos e Benefícios anuais, mensais e diários</t>
  </si>
  <si>
    <t>Encargos e Benefícios Anuais, Mensais e Diários</t>
  </si>
  <si>
    <t>Módulo 3 - Provisão para Rescisão</t>
  </si>
  <si>
    <t>Provisão para Rescisão</t>
  </si>
  <si>
    <t>Incidência do FGTS sobre o Aviso Prévio Indenizado</t>
  </si>
  <si>
    <r>
      <t xml:space="preserve">Multa do FGTS </t>
    </r>
    <r>
      <rPr>
        <strike/>
        <sz val="10"/>
        <color theme="1"/>
        <rFont val="Aptos"/>
        <family val="2"/>
      </rPr>
      <t>e contribuição social</t>
    </r>
    <r>
      <rPr>
        <sz val="10"/>
        <color theme="1"/>
        <rFont val="Aptos"/>
        <family val="2"/>
      </rPr>
      <t xml:space="preserve"> sobre o Aviso Prévio Indenizado</t>
    </r>
  </si>
  <si>
    <r>
      <t>Aviso Prévio Trabalhado</t>
    </r>
    <r>
      <rPr>
        <b/>
        <vertAlign val="superscript"/>
        <sz val="10"/>
        <color rgb="FFC00000"/>
        <rFont val="Aptos"/>
        <family val="2"/>
      </rPr>
      <t>1</t>
    </r>
  </si>
  <si>
    <t>Incidência de GPS, FGTS e outras contribuições sobre o Aviso Prévio Trabalhado</t>
  </si>
  <si>
    <r>
      <t>Multa do FGTS</t>
    </r>
    <r>
      <rPr>
        <strike/>
        <sz val="10"/>
        <color theme="1"/>
        <rFont val="Aptos"/>
        <family val="2"/>
      </rPr>
      <t xml:space="preserve"> e contribuição social </t>
    </r>
    <r>
      <rPr>
        <sz val="10"/>
        <color theme="1"/>
        <rFont val="Aptos"/>
        <family val="2"/>
      </rPr>
      <t>sobre o Aviso Prévio Trabalhado</t>
    </r>
  </si>
  <si>
    <r>
      <rPr>
        <b/>
        <sz val="8"/>
        <color rgb="FFC00000"/>
        <rFont val="Aptos"/>
        <family val="2"/>
      </rPr>
      <t>Nota 1: </t>
    </r>
    <r>
      <rPr>
        <sz val="8"/>
        <color theme="1"/>
        <rFont val="Aptos"/>
        <family val="2"/>
      </rPr>
      <t>O percentual de 1,94% indicado no Aviso Prévio Trabalhado (Alínea D) torna-se custo não renovável decorridos 12 meses. Assim, este percentual será alterado para 0,194% após 12 meses de vigência do contrato, considerando que é plurianual. O licitante poderá cotar percentual diferente do indicado na alínea D (1,94%), desde que com as devidas justificativas (Acórdão n. 1186/2017-TCU-Plenário).</t>
    </r>
  </si>
  <si>
    <r>
      <t>Módulo 4 - Custo de Reposição do Profissional Ausente</t>
    </r>
    <r>
      <rPr>
        <b/>
        <vertAlign val="superscript"/>
        <sz val="10"/>
        <color rgb="FFC00000"/>
        <rFont val="Aptos"/>
        <family val="2"/>
      </rPr>
      <t>1</t>
    </r>
  </si>
  <si>
    <r>
      <rPr>
        <b/>
        <sz val="8"/>
        <color rgb="FFC00000"/>
        <rFont val="Aptos"/>
        <family val="2"/>
      </rPr>
      <t>Nota 1: </t>
    </r>
    <r>
      <rPr>
        <sz val="8"/>
        <color theme="1"/>
        <rFont val="Aptos"/>
        <family val="2"/>
      </rPr>
      <t>Os itens que contemplam o módulo 4 se referem ao custo dos dias trabalhados pelo repositor/substituto, quando o empregado alocado na prestação de serviço estiver ausente, conforme as previsões estabelecidas na legislação. (Redação dada pela Instrução Normativa nº 7, de 2018).</t>
    </r>
  </si>
  <si>
    <t>Submódulo 4.1 - Substituto nas Ausências Legais</t>
  </si>
  <si>
    <t>Substituto nas Ausências Legais</t>
  </si>
  <si>
    <t>Substituto na cobertura de Férias</t>
  </si>
  <si>
    <t>Substituto na cobertura de Ausências Legais</t>
  </si>
  <si>
    <t>Substituto na cobertura de Licença-Paternidade</t>
  </si>
  <si>
    <t>Substituto na cobertura de Ausência por acidente de trabalho</t>
  </si>
  <si>
    <t>Substituto na cobertura de Afastamento Maternidade</t>
  </si>
  <si>
    <t>Substituto na cobertura de outras ausências</t>
  </si>
  <si>
    <t>Subtotal antes da incidência do Submódulo 2.2 sobre custo de reposição</t>
  </si>
  <si>
    <t>Incidência do Submódulo 2.2 sobre custo de reposição</t>
  </si>
  <si>
    <t xml:space="preserve">Submódulo 4.2 - Substituto na Intrajornada </t>
  </si>
  <si>
    <t>Substituto na Intrajornada </t>
  </si>
  <si>
    <t>Substituto na cobertura de Intervalo para repouso ou alimentação</t>
  </si>
  <si>
    <t>Quadro-Resumo do Módulo 4 - Custo de Reposição do Profissional Ausente</t>
  </si>
  <si>
    <t>Custo de Reposição do Profissional Ausente</t>
  </si>
  <si>
    <t>Substituto na Intrajornada</t>
  </si>
  <si>
    <t>Módulo 5 - Insumos Diversos</t>
  </si>
  <si>
    <t>Insumos Diversos</t>
  </si>
  <si>
    <t>Equipamentos</t>
  </si>
  <si>
    <t>Módulo 6 - Custos Indiretos, Tributos e Lucro</t>
  </si>
  <si>
    <r>
      <rPr>
        <b/>
        <sz val="10"/>
        <color rgb="FF002060"/>
        <rFont val="Aptos"/>
        <family val="2"/>
      </rPr>
      <t>Regime de Tributação:</t>
    </r>
    <r>
      <rPr>
        <b/>
        <sz val="10"/>
        <color rgb="FFC00000"/>
        <rFont val="Aptos"/>
        <family val="2"/>
      </rPr>
      <t xml:space="preserve"> (Selecionar ao lado) &gt;</t>
    </r>
  </si>
  <si>
    <t>Custos Indiretos, Tributos e Lucro</t>
  </si>
  <si>
    <t>Custos Indiretos</t>
  </si>
  <si>
    <t>Tributos (C.1 + C.2 + C.3 + D)</t>
  </si>
  <si>
    <t xml:space="preserve">C.1. </t>
  </si>
  <si>
    <t>Tributos Federais (PIS)</t>
  </si>
  <si>
    <t>C.2.</t>
  </si>
  <si>
    <t>Tributos Federais (COFINS)</t>
  </si>
  <si>
    <t>C.3.</t>
  </si>
  <si>
    <r>
      <t xml:space="preserve">Tributos Estaduais/Municipais (ISS) - Código do Serviço </t>
    </r>
    <r>
      <rPr>
        <b/>
        <sz val="10"/>
        <color rgb="FFC00000"/>
        <rFont val="Aptos"/>
        <family val="2"/>
      </rPr>
      <t>XX.XX</t>
    </r>
  </si>
  <si>
    <r>
      <t>D</t>
    </r>
    <r>
      <rPr>
        <b/>
        <vertAlign val="superscript"/>
        <sz val="10"/>
        <color rgb="FFC00000"/>
        <rFont val="Aptos"/>
        <family val="2"/>
      </rPr>
      <t>n2</t>
    </r>
  </si>
  <si>
    <t>Contribuição Previdenciária sobre a Receita Bruta - CPRB</t>
  </si>
  <si>
    <t>Nota 1: Custos Indiretos, Tributos e Lucro por empregado.</t>
  </si>
  <si>
    <r>
      <rPr>
        <b/>
        <sz val="10"/>
        <color rgb="FFC00000"/>
        <rFont val="Aptos"/>
        <family val="2"/>
      </rPr>
      <t>Nota 2:</t>
    </r>
    <r>
      <rPr>
        <sz val="10"/>
        <color theme="1"/>
        <rFont val="Aptos"/>
        <family val="2"/>
      </rPr>
      <t> A empresa que indicar "desoneração" do Submódulo 2.2 deverá incluir uma rubrica para tributação da Contribuição Previdenciária sobre a Receita Bruta - CPRB.</t>
    </r>
  </si>
  <si>
    <t>QUADRO-RESUMO DO CUSTO POR EMPREGADO</t>
  </si>
  <si>
    <t>Mão de obra vinculada à execução contratual (valor por empregado)</t>
  </si>
  <si>
    <t>Valor(R$)</t>
  </si>
  <si>
    <t>Módulo 4 - Custo de Reposição do Profissional Ausente</t>
  </si>
  <si>
    <t>Subtotal (A + B +C+ D+E)</t>
  </si>
  <si>
    <t>Valor Total por Empregado/Posto</t>
  </si>
  <si>
    <r>
      <t xml:space="preserve">Objeto:  </t>
    </r>
    <r>
      <rPr>
        <sz val="10"/>
        <color theme="1"/>
        <rFont val="Aptos"/>
        <family val="2"/>
      </rPr>
      <t>PRESTAÇÃO DE SERVIÇOS DE  LIMPEZA GERAL, COPEIRAGEM, ASSEIO E CONSERVAÇÃO PREDIAL, INCLUINDO CONTROLE INTEGRADO DE PRAGAS E LIMPEZA DOS RESERVATÓRIOS DE ÁGUA NO EDIFÍCIO DO CONSELHO REGIONAL DE QUÍMICA IV REGIÃO – SÃO PAULO.</t>
    </r>
  </si>
  <si>
    <r>
      <t xml:space="preserve">ANEXO VI - MODELO DE PLANILHA DE CUSTOS E FORMAÇÃO DE PREÇOS </t>
    </r>
    <r>
      <rPr>
        <b/>
        <sz val="14"/>
        <color rgb="FFC00000"/>
        <rFont val="Aptos"/>
        <family val="2"/>
      </rPr>
      <t>*</t>
    </r>
  </si>
  <si>
    <r>
      <t xml:space="preserve">Objeto:  </t>
    </r>
    <r>
      <rPr>
        <sz val="11"/>
        <color theme="1"/>
        <rFont val="Aptos"/>
        <family val="2"/>
      </rPr>
      <t>PRESTAÇÃO DE SERVIÇOS DE  LIMPEZA GERAL, COPEIRAGEM, ASSEIO E CONSERVAÇÃO PREDIAL, INCLUINDO CONTROLE INTEGRADO DE PRAGAS E LIMPEZA DOS RESERVATÓRIOS DE ÁGUA NO EDIFÍCIO DO CONSELHO REGIONAL DE QUÍMICA IV REGIÃO – SÃO PAULO.</t>
    </r>
  </si>
  <si>
    <t>Valor do m²</t>
  </si>
  <si>
    <t>(1/m²)</t>
  </si>
  <si>
    <t>Por m²</t>
  </si>
  <si>
    <t>K</t>
  </si>
  <si>
    <r>
      <t xml:space="preserve">DADOS REFERENTES À CONTRATAÇÃO E DISCRIMINAÇÃO DOS SERVIÇOS
</t>
    </r>
    <r>
      <rPr>
        <sz val="10"/>
        <color rgb="FFFFFF00"/>
        <rFont val="Aptos"/>
        <family val="2"/>
      </rPr>
      <t>Obs. Os valores (R$) preenchidos abaixo tem como base a atual contratação do CRQ, devendo ser substituidos de acordo com os criterios da licitante</t>
    </r>
    <r>
      <rPr>
        <b/>
        <sz val="10"/>
        <color rgb="FFFFFF00"/>
        <rFont val="Aptos"/>
        <family val="2"/>
      </rPr>
      <t xml:space="preserve">    .</t>
    </r>
  </si>
  <si>
    <t>5143-20</t>
  </si>
  <si>
    <t xml:space="preserve">Sindicato / Registro da CCT no MTE </t>
  </si>
  <si>
    <r>
      <t xml:space="preserve">SESVESP
</t>
    </r>
    <r>
      <rPr>
        <i/>
        <sz val="10"/>
        <color rgb="FFFF0000"/>
        <rFont val="Aptos"/>
        <family val="2"/>
      </rPr>
      <t>SP003552/2026</t>
    </r>
  </si>
  <si>
    <t xml:space="preserve">Outros (especificar) </t>
  </si>
  <si>
    <t>4101-05</t>
  </si>
  <si>
    <t>Controle integrado de pragas</t>
  </si>
  <si>
    <t>Limpeza dos reservatórios de água</t>
  </si>
  <si>
    <t>LOCAL
CRQ-IV
SÃO PAULO</t>
  </si>
  <si>
    <t>AGENTE DE HIGIENIZAÇÃO</t>
  </si>
  <si>
    <t>DETALHAMENTO DO CUSTO DE UNIFORMES</t>
  </si>
  <si>
    <t>Peças - Quantitativo para 12 (doze) meses de contrato</t>
  </si>
  <si>
    <t>Quantidade</t>
  </si>
  <si>
    <t>R$ Unitário</t>
  </si>
  <si>
    <t>Postos</t>
  </si>
  <si>
    <t>Total para 12 meses</t>
  </si>
  <si>
    <t>Custo mensal por profissional</t>
  </si>
  <si>
    <t xml:space="preserve">Custo Médio </t>
  </si>
  <si>
    <t>Custo Médio</t>
  </si>
  <si>
    <t>Servente / Auxiliar de Limpeza</t>
  </si>
  <si>
    <t>Agente de Higienização</t>
  </si>
  <si>
    <r>
      <t xml:space="preserve">NUMERO DE EMPREGADOS DISPONIBILIZADOS PARA </t>
    </r>
    <r>
      <rPr>
        <b/>
        <sz val="16"/>
        <color rgb="FFFFFF00"/>
        <rFont val="Aptos"/>
        <family val="2"/>
      </rPr>
      <t>LIMPEZA PREDIAL</t>
    </r>
  </si>
  <si>
    <t>Total de empregados para o posto:</t>
  </si>
  <si>
    <r>
      <t xml:space="preserve">Demonstrativo de Vale Transporte - </t>
    </r>
    <r>
      <rPr>
        <b/>
        <sz val="14"/>
        <color rgb="FFFFFF00"/>
        <rFont val="Aptos"/>
        <family val="2"/>
      </rPr>
      <t>Preencher os campos em AMARELO</t>
    </r>
  </si>
  <si>
    <t xml:space="preserve">Vale Transporte SP </t>
  </si>
  <si>
    <t>número de passagens/dia/ida ao posto</t>
  </si>
  <si>
    <t>número de passagens/dia/volta do posto</t>
  </si>
  <si>
    <t>Cesta Básica / Vale-Alimentação</t>
  </si>
  <si>
    <t>Valor mensal</t>
  </si>
  <si>
    <t>subtotal  bruto</t>
  </si>
  <si>
    <t>subtotal  desconto</t>
  </si>
  <si>
    <t>OUTROS BENEFICIOS (ESPECIFICAR)</t>
  </si>
  <si>
    <r>
      <t xml:space="preserve">Objeto: </t>
    </r>
    <r>
      <rPr>
        <sz val="11"/>
        <color theme="1"/>
        <rFont val="Aptos"/>
        <family val="2"/>
      </rPr>
      <t>PRESTAÇÃO DE SERVIÇOS DE  LIMPEZA GERAL, COPEIRAGEM, ASSEIO E CONSERVAÇÃO PREDIAL, INCLUINDO CONTROLE INTEGRADO DE PRAGAS E LIMPEZA DOS RESERVATÓRIOS DE ÁGUA NO EDIFÍCIO DO CONSELHO REGIONAL DE QUÍMICA IV REGIÃO – SÃO PAULO.</t>
    </r>
  </si>
  <si>
    <t>Custo Mensal  (Servente/Agente Higienização)</t>
  </si>
  <si>
    <t>Custo Mensal  (Copeira)</t>
  </si>
  <si>
    <t>Custo Mensal  (Lider/Encarregado)</t>
  </si>
  <si>
    <t>Salário da Categoria - Servente/Agente Higienização</t>
  </si>
  <si>
    <t>Salário da Categoria - Copeira</t>
  </si>
  <si>
    <t>Salário da Categoria - Lider/Encarregado</t>
  </si>
  <si>
    <t>Adicional de Insalubridade - 40% - Base de cálculo: Salário mínimo</t>
  </si>
  <si>
    <r>
      <t xml:space="preserve">Outros benefícios - </t>
    </r>
    <r>
      <rPr>
        <b/>
        <sz val="10"/>
        <color theme="1"/>
        <rFont val="Aptos"/>
        <family val="2"/>
      </rPr>
      <t>Premio Assiduidade</t>
    </r>
  </si>
  <si>
    <r>
      <t xml:space="preserve">Outros benefícios - </t>
    </r>
    <r>
      <rPr>
        <b/>
        <sz val="10"/>
        <color theme="1"/>
        <rFont val="Aptos"/>
        <family val="2"/>
      </rPr>
      <t>PPR</t>
    </r>
    <r>
      <rPr>
        <sz val="10"/>
        <color theme="1"/>
        <rFont val="Aptos"/>
        <family val="2"/>
      </rPr>
      <t xml:space="preserve"> </t>
    </r>
  </si>
  <si>
    <r>
      <t xml:space="preserve">Outros benefícios - </t>
    </r>
    <r>
      <rPr>
        <b/>
        <sz val="10"/>
        <color theme="1"/>
        <rFont val="Aptos"/>
        <family val="2"/>
      </rPr>
      <t>Auxílio Creche</t>
    </r>
  </si>
  <si>
    <t>Desconto (em %)</t>
  </si>
  <si>
    <t>Desconto do salário do trabalhador (em %)</t>
  </si>
  <si>
    <r>
      <t xml:space="preserve">Auxilio Saúde - Mensal </t>
    </r>
    <r>
      <rPr>
        <vertAlign val="superscript"/>
        <sz val="11"/>
        <color theme="1"/>
        <rFont val="Aptos"/>
        <family val="2"/>
      </rPr>
      <t xml:space="preserve"> (SESVESP SP003552/2026 CLAUSULA 18ª)</t>
    </r>
  </si>
  <si>
    <r>
      <t xml:space="preserve">PPR - Valor Anual  </t>
    </r>
    <r>
      <rPr>
        <vertAlign val="superscript"/>
        <sz val="11"/>
        <color theme="1"/>
        <rFont val="Aptos"/>
        <family val="2"/>
      </rPr>
      <t>(SESVESP SP003552/2026 CLAUSULA 13ª)</t>
    </r>
  </si>
  <si>
    <r>
      <t xml:space="preserve">Cesta Básica II - Mensal </t>
    </r>
    <r>
      <rPr>
        <vertAlign val="superscript"/>
        <sz val="11"/>
        <color theme="1"/>
        <rFont val="Aptos"/>
        <family val="2"/>
      </rPr>
      <t xml:space="preserve"> (Antigo Assiduidade - SESVESP SP003552/2026 CLAUSULA 16ª)</t>
    </r>
  </si>
  <si>
    <r>
      <t xml:space="preserve">Auxilio Creche - Mensal </t>
    </r>
    <r>
      <rPr>
        <vertAlign val="superscript"/>
        <sz val="11"/>
        <color rgb="FFFF0000"/>
        <rFont val="Aptos"/>
        <family val="2"/>
      </rPr>
      <t>(Previsibilidade de 20%) Anexo II IN 147/2026</t>
    </r>
  </si>
  <si>
    <t>40 h / Semanais</t>
  </si>
  <si>
    <t>Carga Horária</t>
  </si>
  <si>
    <t>SERVENTE/AUX LIMPEZA</t>
  </si>
  <si>
    <t>LÍDER</t>
  </si>
  <si>
    <t>5134-25</t>
  </si>
  <si>
    <t>Cargo:  TODOS</t>
  </si>
  <si>
    <r>
      <t xml:space="preserve">Luva em látex para atividades de limpeza e conservação. </t>
    </r>
    <r>
      <rPr>
        <b/>
        <sz val="11"/>
        <color rgb="FF000000"/>
        <rFont val="Aptos"/>
        <family val="2"/>
      </rPr>
      <t>Com Certificação CA válida</t>
    </r>
    <r>
      <rPr>
        <sz val="11"/>
        <color rgb="FF000000"/>
        <rFont val="Aptos"/>
        <family val="2"/>
      </rPr>
      <t xml:space="preserve"> - Par</t>
    </r>
  </si>
  <si>
    <r>
      <t xml:space="preserve">Bota de borracha antiderrapante, cor branca. </t>
    </r>
    <r>
      <rPr>
        <b/>
        <sz val="11"/>
        <color rgb="FF000000"/>
        <rFont val="Aptos"/>
        <family val="2"/>
      </rPr>
      <t>Com Certificação CA válida</t>
    </r>
    <r>
      <rPr>
        <sz val="11"/>
        <color rgb="FF000000"/>
        <rFont val="Aptos"/>
        <family val="2"/>
      </rPr>
      <t xml:space="preserve"> - Par</t>
    </r>
  </si>
  <si>
    <r>
      <t xml:space="preserve">Calçado - Cor preto, antiderrapante, impermeável. </t>
    </r>
    <r>
      <rPr>
        <b/>
        <sz val="11"/>
        <color rgb="FF000000"/>
        <rFont val="Aptos"/>
        <family val="2"/>
      </rPr>
      <t>Com Certificação CA válida</t>
    </r>
    <r>
      <rPr>
        <sz val="11"/>
        <color rgb="FF000000"/>
        <rFont val="Aptos"/>
        <family val="2"/>
      </rPr>
      <t xml:space="preserve"> - Par</t>
    </r>
  </si>
  <si>
    <t>Agasalho de moletom confeccionado em tecido macio e resistente. - Unidade</t>
  </si>
  <si>
    <t>Camisa - mangas curtas ou longas, com bolso superior, com insígnia da empresa. - Unidade</t>
  </si>
  <si>
    <t>Crachá com cordão para pescoço, identificação e cordão (com logo)com trava anti enforcamento.</t>
  </si>
  <si>
    <t>Colaboradores</t>
  </si>
  <si>
    <t>Calça - com cós elástico e cordão de ajuste na cintura  - Unidade</t>
  </si>
  <si>
    <t>Custo Anual</t>
  </si>
  <si>
    <t>Cargo:  LIDER / COPEIRA</t>
  </si>
  <si>
    <r>
      <t>Luva térmica de látex, resistente, lavável e reutilizável.</t>
    </r>
    <r>
      <rPr>
        <b/>
        <sz val="11"/>
        <color rgb="FF000000"/>
        <rFont val="Aptos"/>
        <family val="2"/>
      </rPr>
      <t xml:space="preserve"> Com Certificação CA válida</t>
    </r>
    <r>
      <rPr>
        <sz val="11"/>
        <color rgb="FF000000"/>
        <rFont val="Aptos"/>
        <family val="2"/>
      </rPr>
      <t xml:space="preserve"> - Par</t>
    </r>
  </si>
  <si>
    <r>
      <t xml:space="preserve">Avental térmico indicado para proteção contra calor, fogo, vapores e líquidos quentes. </t>
    </r>
    <r>
      <rPr>
        <b/>
        <sz val="11"/>
        <color rgb="FF000000"/>
        <rFont val="Aptos"/>
        <family val="2"/>
      </rPr>
      <t>Com Certificação CA válida</t>
    </r>
    <r>
      <rPr>
        <sz val="11"/>
        <color rgb="FF000000"/>
        <rFont val="Aptos"/>
        <family val="2"/>
      </rPr>
      <t xml:space="preserve"> - Unidade</t>
    </r>
  </si>
  <si>
    <t>Avental Vinil (Copeira) - Unidade</t>
  </si>
  <si>
    <t>Avental de cintura (Copeira) - Unidade</t>
  </si>
  <si>
    <t>Touca com aba e rede (Copeira) - Unidade</t>
  </si>
  <si>
    <t>Jaleco copeira Com bordado inglês - Unidade</t>
  </si>
  <si>
    <t xml:space="preserve">Total para 12 meses (Lider) </t>
  </si>
  <si>
    <t>Custo mensal (Lider)</t>
  </si>
  <si>
    <t xml:space="preserve">Total para 12 meses (Copeira) </t>
  </si>
  <si>
    <t>Custo Total</t>
  </si>
  <si>
    <t>Total por mês</t>
  </si>
  <si>
    <t>Custo mensal (Copeira)</t>
  </si>
  <si>
    <r>
      <t>Terninho</t>
    </r>
    <r>
      <rPr>
        <b/>
        <sz val="11"/>
        <color rgb="FF000000"/>
        <rFont val="Aptos"/>
        <family val="2"/>
      </rPr>
      <t xml:space="preserve"> (Lider)</t>
    </r>
    <r>
      <rPr>
        <sz val="11"/>
        <color rgb="FF000000"/>
        <rFont val="Aptos"/>
        <family val="2"/>
      </rPr>
      <t xml:space="preserve"> - Unidade</t>
    </r>
  </si>
  <si>
    <t>Por posto</t>
  </si>
  <si>
    <t>CONTROLE DE PRAGAS</t>
  </si>
  <si>
    <t>LIMPEZA DOS RESERVATÓRIOS</t>
  </si>
  <si>
    <t>Quantidade/Ano</t>
  </si>
  <si>
    <r>
      <rPr>
        <b/>
        <sz val="14"/>
        <color rgb="FFC00000"/>
        <rFont val="Aptos"/>
        <family val="2"/>
      </rPr>
      <t xml:space="preserve">TABELA DE PROVISOES CONTA-DEPÓSITO VINCULADA (CV) </t>
    </r>
    <r>
      <rPr>
        <b/>
        <sz val="14"/>
        <color theme="4" tint="-0.499984740745262"/>
        <rFont val="Aptos"/>
        <family val="2"/>
      </rPr>
      <t xml:space="preserve">
</t>
    </r>
  </si>
  <si>
    <t>Objeto:  PRESTAÇÃO DE SERVIÇOS DE  LIMPEZA GERAL, COPEIRAGEM, ASSEIO E CONSERVAÇÃO PREDIAL, INCLUINDO CONTROLE INTEGRADO DE PRAGAS E LIMPEZA DOS RESERVATÓRIOS DE ÁGUA NO EDIFÍCIO DO CONSELHO REGIONAL DE QUÍMICA IV REGIÃO – SÃO PAULO.</t>
  </si>
  <si>
    <t>SERVIÇO PÚBLICO FEDERAL
CONSELHO REGIONAL DE QUÍMICA IV REGIÃO – SÃO PAULO
RUA OSCAR FREIRE, 2039 – PINHEIROS – 05409-011 – SÃO PAULO/SP
WWW.CRQSP.ORG.BR</t>
  </si>
  <si>
    <r>
      <t xml:space="preserve">Objeto:  </t>
    </r>
    <r>
      <rPr>
        <sz val="10"/>
        <color rgb="FF002060"/>
        <rFont val="Aptos"/>
        <family val="2"/>
      </rPr>
      <t>PRESTAÇÃO DE SERVIÇOS DE  LIMPEZA GERAL, COPEIRAGEM, ASSEIO E CONSERVAÇÃO PREDIAL, INCLUINDO CONTROLE INTEGRADO DE PRAGAS E LIMPEZA DOS RESERVATÓRIOS DE ÁGUA NO EDIFÍCIO DO 
CONSELHO REGIONAL DE QUÍMICA IV REGIÃO – SÃO PAULO.</t>
    </r>
  </si>
  <si>
    <r>
      <t>Para facilitar o preenchimento e a conferência das informações, esta aba apresenta um</t>
    </r>
    <r>
      <rPr>
        <b/>
        <sz val="11"/>
        <color rgb="FFC00000"/>
        <rFont val="Aptos"/>
        <family val="2"/>
      </rPr>
      <t xml:space="preserve"> índice com links diretos para as demais abas da planilha</t>
    </r>
    <r>
      <rPr>
        <sz val="11"/>
        <color rgb="FFC00000"/>
        <rFont val="Aptos"/>
        <family val="2"/>
      </rPr>
      <t>, servindo apenas como ferramenta auxiliar de navegação. 
A licitante poderá utilizar os links disponibilizados ou acessar livremente cada aba da forma que entender mais adequada, permanecendo integralmente responsável pela análise, conferência e preenchimento 
correto de todas as informações exigidas.</t>
    </r>
  </si>
  <si>
    <t>DETALHAMENTO DO CUSTO</t>
  </si>
  <si>
    <r>
      <t xml:space="preserve">Serviço técnico especializado voltado à prevenção, monitoramento e controle de pragas urbanas (insetos, roedores e outros vetores), com base em diagnóstico das áreas e identificação de focos -  Com Relatório Técnico de Execução, Mapeamento (iscagem) e </t>
    </r>
    <r>
      <rPr>
        <sz val="11"/>
        <color rgb="FFC00000"/>
        <rFont val="Aptos"/>
        <family val="2"/>
      </rPr>
      <t xml:space="preserve">Laudo com ART - </t>
    </r>
    <r>
      <rPr>
        <b/>
        <sz val="11"/>
        <color rgb="FFC00000"/>
        <rFont val="Aptos"/>
        <family val="2"/>
      </rPr>
      <t>SEMESTRAL</t>
    </r>
  </si>
  <si>
    <t>A licitante sera responsável pelo preenchimento correto desta planilha, bem como será de sua responsabilidade realizar a conferência das fórmulas automatizadas e porcentagens nela dispostas, verificando se estão em conformidade com as disposições da CLT, CCT e legislações aplicáveis, minimizando o risco de equívocos no cômputo das previsões financeiras, eximindo a Contratante de quaisquer erros cometidos no preenchimento e apresentação da proposta comercial.</t>
  </si>
  <si>
    <t xml:space="preserve">Número do  Processo: CRQ-IV 18/26     </t>
  </si>
  <si>
    <r>
      <rPr>
        <b/>
        <sz val="9"/>
        <color rgb="FFC00000"/>
        <rFont val="Aptos"/>
        <family val="2"/>
      </rPr>
      <t>*</t>
    </r>
    <r>
      <rPr>
        <b/>
        <sz val="9"/>
        <color theme="1"/>
        <rFont val="Aptos"/>
        <family val="2"/>
      </rPr>
      <t>A licitante sera responsável pelo preenchimento correto desta planilha, bem como será de sua responsabilidade realizar a conferência das fórmulas automatizadas e porcentagens aqui dispostas, verificando se estão em conformidade com as disposições da CLT, CCT e legislações aplicáveis, minimizando o risco de equívocos no cômputo das previsões financeiras, eximindo a Contratante de quaisquer erros cometidos no preenchimento e apresentação da proposta comercial.</t>
    </r>
  </si>
  <si>
    <t>VALOR ANUAL DA PROPOSTA =</t>
  </si>
  <si>
    <t>VALOR GLOBAL DA PROPOSTA (24 MESES) =</t>
  </si>
  <si>
    <t>Unidade</t>
  </si>
  <si>
    <t>Materiais
(Item 2.2 do Estudo Técnico Premiliminar)</t>
  </si>
  <si>
    <t>DETALHAMENTO DO CUSTO - EQUIPAMENTOS E MATERIAIS  (12 MESES)</t>
  </si>
  <si>
    <t>Equipamentos e demais materiais
(Item 2.3 do Estudo Técnico Premiliminar)</t>
  </si>
  <si>
    <t xml:space="preserve">SERVENTE </t>
  </si>
  <si>
    <t>AG HIGIENIZAÇÃO</t>
  </si>
  <si>
    <t xml:space="preserve">   Área Interna - Piso frio e acarpetado</t>
  </si>
  <si>
    <t>Apresentamos nossa proposta de preço, para prestação dos serviços referente ao Pregão Eletrônico nº 90006/2026, acatando todas as estipulações consignados no Edital, conforme abaixo:</t>
  </si>
  <si>
    <t>Nº de Empregados Disponibilizados</t>
  </si>
  <si>
    <t>Lucro presumido</t>
  </si>
  <si>
    <t>ANEXO VIII-A - MODELO DE PLANILHA DE CUSTOS E FORMAÇÃO DE PREÇOS *</t>
  </si>
  <si>
    <r>
      <t xml:space="preserve">ANEXO VIII-A - MODELO DE PLANILHA DE CUSTOS E FORMAÇÃO DE PREÇOS </t>
    </r>
    <r>
      <rPr>
        <b/>
        <sz val="14"/>
        <color rgb="FFC00000"/>
        <rFont val="Aptos"/>
        <family val="2"/>
      </rPr>
      <t>*</t>
    </r>
  </si>
  <si>
    <r>
      <t xml:space="preserve">Área por tipo
</t>
    </r>
    <r>
      <rPr>
        <b/>
        <sz val="11"/>
        <color theme="1"/>
        <rFont val="Aptos"/>
        <family val="2"/>
      </rPr>
      <t>(m²)</t>
    </r>
  </si>
  <si>
    <t xml:space="preserve">ÁREAS                     (em m²) </t>
  </si>
  <si>
    <t>VALOR TOTAL MENSAL</t>
  </si>
  <si>
    <t>Valor Mensal</t>
  </si>
  <si>
    <t>VALOR TOTAL ANUAL</t>
  </si>
  <si>
    <t xml:space="preserve">Copeiragem (1 Unidade)
</t>
  </si>
  <si>
    <r>
      <t xml:space="preserve"> Líder / Encarregado (1 Unidade)
</t>
    </r>
    <r>
      <rPr>
        <sz val="10"/>
        <color theme="1"/>
        <rFont val="Aptos"/>
        <family val="2"/>
      </rPr>
      <t>(Conforme disporto no ANEXO VI-B item 4 da IN05/2017 - 01 para até 30 funcionarios )</t>
    </r>
  </si>
  <si>
    <r>
      <rPr>
        <b/>
        <sz val="12"/>
        <color theme="1"/>
        <rFont val="Aptos"/>
        <family val="2"/>
      </rPr>
      <t>Atenção:</t>
    </r>
    <r>
      <rPr>
        <sz val="12"/>
        <color theme="1"/>
        <rFont val="Aptos"/>
        <family val="2"/>
      </rPr>
      <t xml:space="preserve"> As propostas deverão ser formuladas com base na produtividade adotada em consonância com os  itens 4.24 e 4.2.5 do Estudo Técnico Preliminar (Apêndice do Anexo I)
Os valores da coluna C "Nº Total de Empregados Disponibilizados"  não precisam ser inteiros, isto é, podem ser números com casas decimais, porém o valor resultante na coluna G " Nº Total de Empregados Disponibilizados" deve ser um número </t>
    </r>
    <r>
      <rPr>
        <b/>
        <sz val="12"/>
        <color theme="1"/>
        <rFont val="Aptos"/>
        <family val="2"/>
      </rPr>
      <t>INTEIRO.</t>
    </r>
  </si>
  <si>
    <t>Serviço técnico especializado de limpeza mecânica e desinfecção química de reservatórios de água (caixas d’água e cisternas) - Com Relatório Técnico e Certificado de Limpeza e Desinfecção.</t>
  </si>
  <si>
    <t xml:space="preserve">Número da Licitação: Pregão Eletrônico nº 90006/2026    </t>
  </si>
  <si>
    <t xml:space="preserve">Número do  Processo: CRQ-IV nº 18/26              </t>
  </si>
  <si>
    <t xml:space="preserve">Número da Licitação: Pregão Eletrônico nº 90006/2026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</si>
</sst>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&quot;R$ &quot;#,##0.00"/>
    <numFmt numFmtId="167" formatCode="&quot;R$&quot;\ #,##0.00"/>
    <numFmt numFmtId="168" formatCode="_-&quot;R$ &quot;* #,##0.00_-;&quot;-R$ &quot;* #,##0.00_-;_-&quot;R$ &quot;* \-??_-;_-@_-"/>
    <numFmt numFmtId="169" formatCode="_(&quot;R$ &quot;* #,##0.00_);_(&quot;R$ &quot;* \(#,##0.00\);_(&quot;R$ &quot;* \-??_);_(@_)"/>
    <numFmt numFmtId="170" formatCode="0.0000%"/>
    <numFmt numFmtId="171" formatCode="_-[$R$-416]\ * #,##0.00_-;\-[$R$-416]\ * #,##0.00_-;_-[$R$-416]\ * &quot;-&quot;??_-;_-@_-"/>
    <numFmt numFmtId="172" formatCode="_-&quot;R$&quot;* #,##0.00_-;\-&quot;R$&quot;* #,##0.00_-;_-&quot;R$&quot;* &quot;-&quot;??_-;_-@_-"/>
    <numFmt numFmtId="173" formatCode="0.000%"/>
    <numFmt numFmtId="174" formatCode="00"/>
    <numFmt numFmtId="175" formatCode="_-* #,##0.000000_-;\-* #,##0.000000_-;_-* &quot;-&quot;??_-;_-@_-"/>
    <numFmt numFmtId="176" formatCode="_-* #,##0.0000_-;\-* #,##0.0000_-;_-* &quot;-&quot;????_-;_-@_-"/>
  </numFmts>
  <fonts count="1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Ecofont_Spranq_eco_Sans"/>
      <family val="2"/>
    </font>
    <font>
      <b/>
      <sz val="12"/>
      <color theme="0"/>
      <name val="Ecofont_Spranq_eco_Sans"/>
      <family val="2"/>
    </font>
    <font>
      <b/>
      <sz val="12"/>
      <color theme="1"/>
      <name val="Ecofont_Spranq_eco_Sans"/>
      <family val="2"/>
    </font>
    <font>
      <b/>
      <u/>
      <sz val="12"/>
      <color theme="1"/>
      <name val="Ecofont_Spranq_eco_Sans"/>
      <family val="2"/>
    </font>
    <font>
      <sz val="12"/>
      <color indexed="8"/>
      <name val="Ecofont_Spranq_eco_Sans"/>
      <family val="2"/>
    </font>
    <font>
      <sz val="12"/>
      <color theme="1"/>
      <name val="Ecofont_Spranq_eco_Sans"/>
      <family val="2"/>
    </font>
    <font>
      <sz val="12"/>
      <color indexed="8"/>
      <name val="Times New Roman"/>
      <family val="1"/>
    </font>
    <font>
      <strike/>
      <sz val="12"/>
      <color indexed="8"/>
      <name val="Ecofont_Spranq_eco_Sans"/>
      <family val="2"/>
    </font>
    <font>
      <sz val="12"/>
      <color theme="1"/>
      <name val="Calibri"/>
      <family val="2"/>
      <scheme val="minor"/>
    </font>
    <font>
      <i/>
      <u/>
      <sz val="12"/>
      <color indexed="8"/>
      <name val="Ecofont_Spranq_eco_Sans"/>
      <family val="2"/>
    </font>
    <font>
      <b/>
      <sz val="14"/>
      <color theme="1"/>
      <name val="Ecofont_Spranq_eco_Sans"/>
      <family val="2"/>
    </font>
    <font>
      <b/>
      <sz val="12"/>
      <color indexed="8"/>
      <name val="Ecofont_Spranq_eco_Sans"/>
      <family val="2"/>
    </font>
    <font>
      <i/>
      <sz val="12"/>
      <color theme="1"/>
      <name val="Ecofont_Spranq_eco_Sans"/>
      <family val="2"/>
    </font>
    <font>
      <u/>
      <sz val="12"/>
      <color theme="1"/>
      <name val="Ecofont_Spranq_eco_Sans"/>
      <family val="2"/>
    </font>
    <font>
      <b/>
      <sz val="12"/>
      <color theme="1"/>
      <name val="Calibri"/>
      <family val="2"/>
      <scheme val="minor"/>
    </font>
    <font>
      <i/>
      <sz val="11"/>
      <color theme="1"/>
      <name val="Ecofont_Spranq_eco_Sans"/>
      <family val="2"/>
    </font>
    <font>
      <b/>
      <i/>
      <sz val="11"/>
      <color indexed="8"/>
      <name val="Ecofont_Spranq_eco_Sans"/>
      <family val="2"/>
    </font>
    <font>
      <i/>
      <sz val="11"/>
      <color indexed="8"/>
      <name val="Ecofont_Spranq_eco_Sans"/>
      <family val="2"/>
    </font>
    <font>
      <sz val="14"/>
      <color theme="1"/>
      <name val="Calibri"/>
      <family val="2"/>
      <scheme val="minor"/>
    </font>
    <font>
      <b/>
      <sz val="11"/>
      <color theme="1"/>
      <name val="Ecofont_Spranq_eco_Sans"/>
      <family val="2"/>
    </font>
    <font>
      <sz val="10"/>
      <color theme="1"/>
      <name val="Ecofont_Spranq_eco_Sans"/>
      <family val="2"/>
    </font>
    <font>
      <i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color indexed="10"/>
      <name val="Ecofont_Spranq_eco_Sans"/>
      <family val="2"/>
    </font>
    <font>
      <b/>
      <sz val="16"/>
      <color theme="1"/>
      <name val="Ecofont_Spranq_eco_Sans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name val="Arial"/>
      <family val="2"/>
      <charset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  <scheme val="minor"/>
    </font>
    <font>
      <sz val="12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Aptos"/>
      <family val="2"/>
    </font>
    <font>
      <b/>
      <sz val="12"/>
      <color theme="1"/>
      <name val="Aptos"/>
      <family val="2"/>
    </font>
    <font>
      <u/>
      <sz val="12"/>
      <color theme="10"/>
      <name val="Aptos"/>
      <family val="2"/>
    </font>
    <font>
      <sz val="12"/>
      <name val="Aptos"/>
      <family val="2"/>
    </font>
    <font>
      <b/>
      <sz val="10"/>
      <color theme="1"/>
      <name val="Aptos"/>
      <family val="2"/>
    </font>
    <font>
      <sz val="10"/>
      <color theme="1"/>
      <name val="Aptos"/>
      <family val="2"/>
    </font>
    <font>
      <sz val="11"/>
      <color theme="1"/>
      <name val="Aptos"/>
      <family val="2"/>
    </font>
    <font>
      <b/>
      <sz val="14"/>
      <color theme="0"/>
      <name val="Aptos"/>
      <family val="2"/>
    </font>
    <font>
      <b/>
      <sz val="14"/>
      <color rgb="FFC00000"/>
      <name val="Aptos"/>
      <family val="2"/>
    </font>
    <font>
      <b/>
      <sz val="11"/>
      <color theme="1"/>
      <name val="Aptos"/>
      <family val="2"/>
    </font>
    <font>
      <b/>
      <sz val="11"/>
      <color rgb="FFC00000"/>
      <name val="Aptos"/>
      <family val="2"/>
    </font>
    <font>
      <b/>
      <sz val="14"/>
      <color theme="4" tint="-0.499984740745262"/>
      <name val="Aptos"/>
      <family val="2"/>
    </font>
    <font>
      <sz val="11"/>
      <name val="Aptos"/>
      <family val="2"/>
    </font>
    <font>
      <vertAlign val="superscript"/>
      <sz val="11"/>
      <color rgb="FFC00000"/>
      <name val="Aptos"/>
      <family val="2"/>
    </font>
    <font>
      <b/>
      <sz val="11"/>
      <name val="Aptos"/>
      <family val="2"/>
    </font>
    <font>
      <sz val="11"/>
      <color rgb="FFC00000"/>
      <name val="Aptos"/>
      <family val="2"/>
    </font>
    <font>
      <b/>
      <sz val="11"/>
      <color theme="4" tint="-0.499984740745262"/>
      <name val="Aptos"/>
      <family val="2"/>
    </font>
    <font>
      <b/>
      <sz val="12"/>
      <color theme="4" tint="-0.499984740745262"/>
      <name val="Aptos"/>
      <family val="2"/>
    </font>
    <font>
      <sz val="5"/>
      <color theme="2"/>
      <name val="Aptos"/>
      <family val="2"/>
    </font>
    <font>
      <u/>
      <sz val="11"/>
      <color theme="10"/>
      <name val="Aptos"/>
      <family val="2"/>
    </font>
    <font>
      <b/>
      <sz val="12"/>
      <color rgb="FFC00000"/>
      <name val="Aptos"/>
      <family val="2"/>
    </font>
    <font>
      <b/>
      <sz val="9"/>
      <color theme="1"/>
      <name val="Aptos"/>
      <family val="2"/>
    </font>
    <font>
      <b/>
      <sz val="9"/>
      <color rgb="FFC00000"/>
      <name val="Aptos"/>
      <family val="2"/>
    </font>
    <font>
      <b/>
      <sz val="10"/>
      <color rgb="FFC00000"/>
      <name val="Aptos"/>
      <family val="2"/>
    </font>
    <font>
      <b/>
      <sz val="10"/>
      <color theme="0"/>
      <name val="Aptos"/>
      <family val="2"/>
    </font>
    <font>
      <b/>
      <sz val="10"/>
      <color rgb="FFFF0000"/>
      <name val="Aptos"/>
      <family val="2"/>
    </font>
    <font>
      <sz val="10"/>
      <color rgb="FFFF0000"/>
      <name val="Aptos"/>
      <family val="2"/>
    </font>
    <font>
      <b/>
      <sz val="10"/>
      <name val="Aptos"/>
      <family val="2"/>
    </font>
    <font>
      <b/>
      <sz val="10"/>
      <color theme="4" tint="-0.499984740745262"/>
      <name val="Aptos"/>
      <family val="2"/>
    </font>
    <font>
      <sz val="10"/>
      <name val="Aptos"/>
      <family val="2"/>
    </font>
    <font>
      <b/>
      <sz val="10"/>
      <color rgb="FF002060"/>
      <name val="Aptos"/>
      <family val="2"/>
    </font>
    <font>
      <sz val="10"/>
      <color rgb="FFC00000"/>
      <name val="Aptos"/>
      <family val="2"/>
    </font>
    <font>
      <b/>
      <sz val="8"/>
      <color theme="1"/>
      <name val="Aptos"/>
      <family val="2"/>
    </font>
    <font>
      <strike/>
      <sz val="10"/>
      <color theme="1"/>
      <name val="Aptos"/>
      <family val="2"/>
    </font>
    <font>
      <b/>
      <vertAlign val="superscript"/>
      <sz val="10"/>
      <color rgb="FFC00000"/>
      <name val="Aptos"/>
      <family val="2"/>
    </font>
    <font>
      <sz val="8"/>
      <color theme="1"/>
      <name val="Aptos"/>
      <family val="2"/>
    </font>
    <font>
      <b/>
      <sz val="8"/>
      <color rgb="FFC00000"/>
      <name val="Aptos"/>
      <family val="2"/>
    </font>
    <font>
      <b/>
      <sz val="10"/>
      <color indexed="8"/>
      <name val="Aptos"/>
      <family val="2"/>
    </font>
    <font>
      <b/>
      <sz val="11"/>
      <color theme="0"/>
      <name val="Aptos"/>
      <family val="2"/>
    </font>
    <font>
      <b/>
      <sz val="8"/>
      <color indexed="81"/>
      <name val="Aptos Display"/>
      <family val="2"/>
    </font>
    <font>
      <sz val="8"/>
      <color indexed="81"/>
      <name val="Aptos Display"/>
      <family val="2"/>
    </font>
    <font>
      <i/>
      <sz val="8"/>
      <color indexed="81"/>
      <name val="Segoe UI"/>
      <family val="2"/>
    </font>
    <font>
      <sz val="8"/>
      <color indexed="81"/>
      <name val="Aptos"/>
      <family val="2"/>
    </font>
    <font>
      <b/>
      <sz val="8"/>
      <color indexed="81"/>
      <name val="Aptos"/>
      <family val="2"/>
    </font>
    <font>
      <b/>
      <i/>
      <sz val="8"/>
      <color indexed="81"/>
      <name val="Aptos"/>
      <family val="2"/>
    </font>
    <font>
      <i/>
      <sz val="8"/>
      <color indexed="81"/>
      <name val="Aptos"/>
      <family val="2"/>
    </font>
    <font>
      <b/>
      <sz val="12"/>
      <color theme="0"/>
      <name val="Aptos"/>
      <family val="2"/>
    </font>
    <font>
      <sz val="10"/>
      <color rgb="FFFFFF00"/>
      <name val="Aptos"/>
      <family val="2"/>
    </font>
    <font>
      <b/>
      <sz val="10"/>
      <color rgb="FFFFFF00"/>
      <name val="Aptos"/>
      <family val="2"/>
    </font>
    <font>
      <i/>
      <sz val="10"/>
      <color rgb="FFFF0000"/>
      <name val="Aptos"/>
      <family val="2"/>
    </font>
    <font>
      <sz val="11"/>
      <color theme="1"/>
      <name val="Times New Roman"/>
      <family val="1"/>
    </font>
    <font>
      <b/>
      <sz val="16"/>
      <color theme="4" tint="-0.499984740745262"/>
      <name val="Aptos"/>
      <family val="2"/>
    </font>
    <font>
      <b/>
      <sz val="11"/>
      <color rgb="FFFF0000"/>
      <name val="Aptos"/>
      <family val="2"/>
    </font>
    <font>
      <sz val="11"/>
      <color rgb="FF000000"/>
      <name val="Aptos"/>
      <family val="2"/>
    </font>
    <font>
      <b/>
      <sz val="18"/>
      <color theme="0" tint="-4.9989318521683403E-2"/>
      <name val="Aptos"/>
      <family val="2"/>
    </font>
    <font>
      <b/>
      <sz val="12"/>
      <name val="Aptos"/>
      <family val="2"/>
    </font>
    <font>
      <b/>
      <sz val="14"/>
      <name val="Aptos"/>
      <family val="2"/>
    </font>
    <font>
      <b/>
      <sz val="16"/>
      <color theme="0"/>
      <name val="Aptos"/>
      <family val="2"/>
    </font>
    <font>
      <b/>
      <sz val="24"/>
      <color theme="0"/>
      <name val="Aptos"/>
      <family val="2"/>
    </font>
    <font>
      <b/>
      <sz val="16"/>
      <color rgb="FFFFFF00"/>
      <name val="Aptos"/>
      <family val="2"/>
    </font>
    <font>
      <b/>
      <sz val="14"/>
      <color rgb="FF002060"/>
      <name val="Aptos"/>
      <family val="2"/>
    </font>
    <font>
      <sz val="12"/>
      <color rgb="FFFF0000"/>
      <name val="Aptos"/>
      <family val="2"/>
    </font>
    <font>
      <b/>
      <sz val="14"/>
      <color rgb="FFFFFF00"/>
      <name val="Aptos"/>
      <family val="2"/>
    </font>
    <font>
      <b/>
      <sz val="11"/>
      <color rgb="FF002060"/>
      <name val="Aptos"/>
      <family val="2"/>
    </font>
    <font>
      <i/>
      <sz val="11"/>
      <name val="Aptos"/>
      <family val="2"/>
    </font>
    <font>
      <b/>
      <sz val="14"/>
      <color rgb="FFFF0000"/>
      <name val="Aptos"/>
      <family val="2"/>
    </font>
    <font>
      <b/>
      <i/>
      <sz val="11"/>
      <name val="Aptos"/>
      <family val="2"/>
    </font>
    <font>
      <b/>
      <vertAlign val="superscript"/>
      <sz val="11"/>
      <color rgb="FFC00000"/>
      <name val="Aptos"/>
      <family val="2"/>
    </font>
    <font>
      <vertAlign val="superscript"/>
      <sz val="11"/>
      <color theme="1"/>
      <name val="Aptos"/>
      <family val="2"/>
    </font>
    <font>
      <vertAlign val="superscript"/>
      <sz val="11"/>
      <color rgb="FFFF0000"/>
      <name val="Aptos"/>
      <family val="2"/>
    </font>
    <font>
      <b/>
      <sz val="11"/>
      <color rgb="FF000000"/>
      <name val="Aptos"/>
      <family val="2"/>
    </font>
    <font>
      <b/>
      <sz val="18"/>
      <color theme="3" tint="-0.499984740745262"/>
      <name val="Aptos"/>
      <family val="2"/>
    </font>
    <font>
      <b/>
      <sz val="11"/>
      <color theme="3" tint="-0.499984740745262"/>
      <name val="Aptos"/>
      <family val="2"/>
    </font>
    <font>
      <sz val="11"/>
      <color rgb="FF002060"/>
      <name val="Calibri"/>
      <family val="2"/>
      <scheme val="minor"/>
    </font>
    <font>
      <sz val="10"/>
      <color rgb="FF002060"/>
      <name val="Aptos"/>
      <family val="2"/>
    </font>
    <font>
      <sz val="11"/>
      <color rgb="FF002060"/>
      <name val="Aptos"/>
      <family val="2"/>
    </font>
    <font>
      <sz val="12"/>
      <color rgb="FF002060"/>
      <name val="Aptos"/>
      <family val="2"/>
    </font>
    <font>
      <b/>
      <sz val="16"/>
      <color theme="3" tint="-0.499984740745262"/>
      <name val="Aptos"/>
      <family val="2"/>
    </font>
    <font>
      <i/>
      <sz val="11"/>
      <color theme="7" tint="-0.499984740745262"/>
      <name val="Aptos"/>
      <family val="2"/>
    </font>
    <font>
      <sz val="12"/>
      <color rgb="FF0070C0"/>
      <name val="Aptos"/>
      <family val="2"/>
    </font>
    <font>
      <sz val="12"/>
      <color theme="0"/>
      <name val="Aptos"/>
      <family val="2"/>
    </font>
  </fonts>
  <fills count="50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2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/>
        <bgColor indexed="64"/>
      </patternFill>
    </fill>
  </fills>
  <borders count="95">
    <border>
      <left/>
      <right/>
      <top/>
      <bottom/>
      <diagonal/>
    </border>
    <border>
      <left style="hair">
        <color indexed="64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 style="medium">
        <color indexed="64"/>
      </right>
      <top style="dotted">
        <color auto="1"/>
      </top>
      <bottom style="dotted">
        <color auto="1"/>
      </bottom>
      <diagonal/>
    </border>
    <border>
      <left/>
      <right style="medium">
        <color indexed="64"/>
      </right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theme="2"/>
      </bottom>
      <diagonal/>
    </border>
    <border>
      <left style="medium">
        <color indexed="64"/>
      </left>
      <right/>
      <top/>
      <bottom style="double">
        <color theme="2"/>
      </bottom>
      <diagonal/>
    </border>
    <border>
      <left/>
      <right style="medium">
        <color indexed="64"/>
      </right>
      <top/>
      <bottom style="double">
        <color theme="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67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0" fontId="28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2" fillId="0" borderId="0"/>
    <xf numFmtId="168" fontId="32" fillId="0" borderId="0" applyBorder="0" applyProtection="0"/>
    <xf numFmtId="9" fontId="32" fillId="0" borderId="0" applyBorder="0" applyProtection="0"/>
    <xf numFmtId="0" fontId="29" fillId="14" borderId="0" applyNumberFormat="0" applyBorder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2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1" borderId="0" applyNumberFormat="0" applyBorder="0" applyAlignment="0" applyProtection="0"/>
    <xf numFmtId="0" fontId="33" fillId="22" borderId="0" applyNumberFormat="0" applyBorder="0" applyAlignment="0" applyProtection="0"/>
    <xf numFmtId="0" fontId="33" fillId="25" borderId="0" applyNumberFormat="0" applyBorder="0" applyAlignment="0" applyProtection="0"/>
    <xf numFmtId="0" fontId="33" fillId="26" borderId="0" applyNumberFormat="0" applyBorder="0" applyAlignment="0" applyProtection="0"/>
    <xf numFmtId="0" fontId="33" fillId="27" borderId="0" applyNumberFormat="0" applyBorder="0" applyAlignment="0" applyProtection="0"/>
    <xf numFmtId="0" fontId="34" fillId="16" borderId="0" applyNumberFormat="0" applyBorder="0" applyAlignment="0" applyProtection="0"/>
    <xf numFmtId="0" fontId="35" fillId="28" borderId="32" applyNumberFormat="0" applyAlignment="0" applyProtection="0"/>
    <xf numFmtId="0" fontId="36" fillId="29" borderId="33" applyNumberFormat="0" applyAlignment="0" applyProtection="0"/>
    <xf numFmtId="0" fontId="37" fillId="0" borderId="34" applyNumberFormat="0" applyFill="0" applyAlignment="0" applyProtection="0"/>
    <xf numFmtId="0" fontId="33" fillId="30" borderId="0" applyNumberFormat="0" applyBorder="0" applyAlignment="0" applyProtection="0"/>
    <xf numFmtId="0" fontId="33" fillId="31" borderId="0" applyNumberFormat="0" applyBorder="0" applyAlignment="0" applyProtection="0"/>
    <xf numFmtId="0" fontId="33" fillId="32" borderId="0" applyNumberFormat="0" applyBorder="0" applyAlignment="0" applyProtection="0"/>
    <xf numFmtId="0" fontId="33" fillId="25" borderId="0" applyNumberFormat="0" applyBorder="0" applyAlignment="0" applyProtection="0"/>
    <xf numFmtId="0" fontId="33" fillId="26" borderId="0" applyNumberFormat="0" applyBorder="0" applyAlignment="0" applyProtection="0"/>
    <xf numFmtId="0" fontId="33" fillId="33" borderId="0" applyNumberFormat="0" applyBorder="0" applyAlignment="0" applyProtection="0"/>
    <xf numFmtId="0" fontId="38" fillId="19" borderId="32" applyNumberFormat="0" applyAlignment="0" applyProtection="0"/>
    <xf numFmtId="0" fontId="39" fillId="15" borderId="0" applyNumberFormat="0" applyBorder="0" applyAlignment="0" applyProtection="0"/>
    <xf numFmtId="169" fontId="28" fillId="0" borderId="0" applyFill="0" applyBorder="0" applyAlignment="0" applyProtection="0"/>
    <xf numFmtId="169" fontId="28" fillId="0" borderId="0" applyFill="0" applyBorder="0" applyAlignment="0" applyProtection="0"/>
    <xf numFmtId="164" fontId="28" fillId="0" borderId="0" applyFont="0" applyFill="0" applyBorder="0" applyAlignment="0" applyProtection="0"/>
    <xf numFmtId="0" fontId="40" fillId="34" borderId="0" applyNumberFormat="0" applyBorder="0" applyAlignment="0" applyProtection="0"/>
    <xf numFmtId="0" fontId="28" fillId="0" borderId="0"/>
    <xf numFmtId="0" fontId="28" fillId="0" borderId="0"/>
    <xf numFmtId="0" fontId="30" fillId="0" borderId="0"/>
    <xf numFmtId="0" fontId="28" fillId="35" borderId="35" applyNumberFormat="0" applyAlignment="0" applyProtection="0"/>
    <xf numFmtId="9" fontId="28" fillId="0" borderId="0" applyFont="0" applyFill="0" applyBorder="0" applyAlignment="0" applyProtection="0"/>
    <xf numFmtId="9" fontId="28" fillId="0" borderId="0" applyFill="0" applyBorder="0" applyAlignment="0" applyProtection="0"/>
    <xf numFmtId="0" fontId="41" fillId="28" borderId="36" applyNumberFormat="0" applyAlignment="0" applyProtection="0"/>
    <xf numFmtId="165" fontId="28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5" fillId="0" borderId="37" applyNumberFormat="0" applyFill="0" applyAlignment="0" applyProtection="0"/>
    <xf numFmtId="0" fontId="46" fillId="0" borderId="38" applyNumberFormat="0" applyFill="0" applyAlignment="0" applyProtection="0"/>
    <xf numFmtId="0" fontId="47" fillId="0" borderId="39" applyNumberFormat="0" applyFill="0" applyAlignment="0" applyProtection="0"/>
    <xf numFmtId="0" fontId="47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1" fillId="0" borderId="40" applyNumberFormat="0" applyFill="0" applyAlignment="0" applyProtection="0"/>
    <xf numFmtId="165" fontId="28" fillId="0" borderId="0" applyFont="0" applyFill="0" applyBorder="0" applyAlignment="0" applyProtection="0"/>
    <xf numFmtId="0" fontId="48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72" fontId="1" fillId="0" borderId="0" applyFont="0" applyFill="0" applyBorder="0" applyAlignment="0" applyProtection="0"/>
  </cellStyleXfs>
  <cellXfs count="842">
    <xf numFmtId="0" fontId="0" fillId="0" borderId="0" xfId="0"/>
    <xf numFmtId="0" fontId="0" fillId="0" borderId="0" xfId="0" applyProtection="1">
      <protection locked="0"/>
    </xf>
    <xf numFmtId="0" fontId="5" fillId="0" borderId="0" xfId="0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7" fillId="0" borderId="2" xfId="0" applyFont="1" applyBorder="1" applyAlignment="1" applyProtection="1">
      <alignment vertical="top" wrapText="1"/>
      <protection locked="0"/>
    </xf>
    <xf numFmtId="0" fontId="7" fillId="0" borderId="2" xfId="0" applyFont="1" applyBorder="1" applyAlignment="1" applyProtection="1">
      <alignment horizontal="justify" vertical="top" wrapText="1"/>
      <protection locked="0"/>
    </xf>
    <xf numFmtId="0" fontId="10" fillId="0" borderId="0" xfId="0" applyFont="1" applyProtection="1">
      <protection locked="0"/>
    </xf>
    <xf numFmtId="0" fontId="4" fillId="0" borderId="2" xfId="0" applyFont="1" applyBorder="1" applyAlignment="1" applyProtection="1">
      <alignment horizontal="center" vertical="top" wrapText="1"/>
      <protection locked="0"/>
    </xf>
    <xf numFmtId="0" fontId="12" fillId="0" borderId="2" xfId="0" applyFont="1" applyBorder="1" applyAlignment="1" applyProtection="1">
      <alignment horizontal="center" vertical="top" wrapText="1"/>
      <protection locked="0"/>
    </xf>
    <xf numFmtId="0" fontId="4" fillId="0" borderId="0" xfId="0" applyFont="1" applyProtection="1">
      <protection locked="0"/>
    </xf>
    <xf numFmtId="0" fontId="7" fillId="3" borderId="4" xfId="0" applyFont="1" applyFill="1" applyBorder="1" applyAlignment="1" applyProtection="1">
      <alignment horizontal="center" vertical="center" wrapText="1"/>
      <protection locked="0"/>
    </xf>
    <xf numFmtId="0" fontId="4" fillId="3" borderId="4" xfId="0" applyFont="1" applyFill="1" applyBorder="1" applyAlignment="1" applyProtection="1">
      <alignment vertical="top" wrapText="1"/>
      <protection locked="0"/>
    </xf>
    <xf numFmtId="0" fontId="7" fillId="0" borderId="4" xfId="0" applyFont="1" applyBorder="1" applyAlignment="1" applyProtection="1">
      <alignment horizontal="center" vertical="top" wrapText="1"/>
      <protection locked="0"/>
    </xf>
    <xf numFmtId="0" fontId="7" fillId="0" borderId="4" xfId="0" applyFont="1" applyBorder="1" applyAlignment="1" applyProtection="1">
      <alignment horizontal="justify" vertical="top" wrapText="1"/>
      <protection locked="0"/>
    </xf>
    <xf numFmtId="0" fontId="4" fillId="0" borderId="5" xfId="0" applyFont="1" applyBorder="1" applyProtection="1">
      <protection locked="0"/>
    </xf>
    <xf numFmtId="0" fontId="7" fillId="0" borderId="4" xfId="0" applyFont="1" applyBorder="1" applyAlignment="1" applyProtection="1">
      <alignment vertical="top" wrapText="1"/>
      <protection locked="0"/>
    </xf>
    <xf numFmtId="2" fontId="7" fillId="0" borderId="4" xfId="0" applyNumberFormat="1" applyFont="1" applyBorder="1" applyAlignment="1" applyProtection="1">
      <alignment vertical="top" wrapText="1"/>
      <protection locked="0"/>
    </xf>
    <xf numFmtId="0" fontId="4" fillId="3" borderId="4" xfId="0" applyFont="1" applyFill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wrapText="1"/>
      <protection locked="0"/>
    </xf>
    <xf numFmtId="10" fontId="7" fillId="0" borderId="4" xfId="0" applyNumberFormat="1" applyFont="1" applyBorder="1" applyAlignment="1" applyProtection="1">
      <alignment horizontal="center" wrapText="1"/>
      <protection locked="0"/>
    </xf>
    <xf numFmtId="2" fontId="7" fillId="0" borderId="4" xfId="0" applyNumberFormat="1" applyFont="1" applyBorder="1" applyAlignment="1" applyProtection="1">
      <alignment horizontal="center" vertical="top" wrapText="1"/>
      <protection locked="0"/>
    </xf>
    <xf numFmtId="0" fontId="7" fillId="3" borderId="4" xfId="0" applyFont="1" applyFill="1" applyBorder="1" applyAlignment="1" applyProtection="1">
      <alignment horizontal="justify" vertical="top" wrapText="1"/>
      <protection locked="0"/>
    </xf>
    <xf numFmtId="10" fontId="7" fillId="3" borderId="4" xfId="0" applyNumberFormat="1" applyFont="1" applyFill="1" applyBorder="1" applyAlignment="1" applyProtection="1">
      <alignment horizontal="center" vertical="top" wrapText="1"/>
      <protection locked="0"/>
    </xf>
    <xf numFmtId="2" fontId="7" fillId="3" borderId="4" xfId="0" applyNumberFormat="1" applyFont="1" applyFill="1" applyBorder="1" applyAlignment="1">
      <alignment horizontal="center" vertical="top" wrapText="1"/>
    </xf>
    <xf numFmtId="0" fontId="16" fillId="3" borderId="4" xfId="0" applyFont="1" applyFill="1" applyBorder="1" applyAlignment="1" applyProtection="1">
      <alignment horizontal="center"/>
      <protection locked="0"/>
    </xf>
    <xf numFmtId="0" fontId="10" fillId="0" borderId="4" xfId="0" applyFont="1" applyBorder="1" applyAlignment="1">
      <alignment horizontal="center" vertical="center"/>
    </xf>
    <xf numFmtId="0" fontId="7" fillId="0" borderId="4" xfId="0" applyFont="1" applyBorder="1"/>
    <xf numFmtId="10" fontId="10" fillId="0" borderId="4" xfId="2" applyNumberFormat="1" applyFont="1" applyBorder="1" applyAlignment="1" applyProtection="1">
      <alignment horizontal="center"/>
      <protection locked="0"/>
    </xf>
    <xf numFmtId="2" fontId="10" fillId="0" borderId="4" xfId="0" applyNumberFormat="1" applyFont="1" applyBorder="1" applyAlignment="1">
      <alignment horizontal="center"/>
    </xf>
    <xf numFmtId="10" fontId="10" fillId="3" borderId="4" xfId="2" applyNumberFormat="1" applyFont="1" applyFill="1" applyBorder="1" applyAlignment="1" applyProtection="1">
      <alignment horizontal="center"/>
    </xf>
    <xf numFmtId="2" fontId="10" fillId="3" borderId="4" xfId="0" applyNumberFormat="1" applyFont="1" applyFill="1" applyBorder="1" applyAlignment="1">
      <alignment horizontal="center"/>
    </xf>
    <xf numFmtId="0" fontId="4" fillId="3" borderId="0" xfId="0" applyFont="1" applyFill="1" applyAlignment="1">
      <alignment horizontal="left"/>
    </xf>
    <xf numFmtId="10" fontId="10" fillId="3" borderId="0" xfId="2" applyNumberFormat="1" applyFont="1" applyFill="1" applyBorder="1" applyAlignment="1" applyProtection="1">
      <alignment horizontal="center"/>
    </xf>
    <xf numFmtId="2" fontId="10" fillId="3" borderId="0" xfId="0" applyNumberFormat="1" applyFont="1" applyFill="1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10" fillId="0" borderId="4" xfId="0" applyFont="1" applyBorder="1"/>
    <xf numFmtId="0" fontId="16" fillId="3" borderId="4" xfId="0" applyFont="1" applyFill="1" applyBorder="1" applyAlignment="1">
      <alignment horizontal="center"/>
    </xf>
    <xf numFmtId="0" fontId="7" fillId="0" borderId="4" xfId="0" applyFont="1" applyBorder="1" applyAlignment="1">
      <alignment wrapText="1"/>
    </xf>
    <xf numFmtId="10" fontId="10" fillId="0" borderId="4" xfId="2" applyNumberFormat="1" applyFont="1" applyBorder="1" applyAlignment="1" applyProtection="1">
      <alignment horizontal="center" vertical="center"/>
    </xf>
    <xf numFmtId="2" fontId="10" fillId="0" borderId="4" xfId="0" applyNumberFormat="1" applyFont="1" applyBorder="1" applyAlignment="1">
      <alignment horizontal="center" vertical="center"/>
    </xf>
    <xf numFmtId="0" fontId="7" fillId="0" borderId="0" xfId="0" applyFont="1" applyProtection="1">
      <protection locked="0"/>
    </xf>
    <xf numFmtId="0" fontId="7" fillId="0" borderId="4" xfId="0" applyFont="1" applyBorder="1" applyAlignment="1">
      <alignment horizontal="left" wrapText="1"/>
    </xf>
    <xf numFmtId="0" fontId="4" fillId="3" borderId="4" xfId="0" applyFont="1" applyFill="1" applyBorder="1" applyAlignment="1" applyProtection="1">
      <alignment horizontal="center" vertical="top" wrapText="1"/>
      <protection locked="0"/>
    </xf>
    <xf numFmtId="2" fontId="4" fillId="3" borderId="4" xfId="0" applyNumberFormat="1" applyFont="1" applyFill="1" applyBorder="1" applyAlignment="1">
      <alignment horizontal="center" vertical="top" wrapText="1"/>
    </xf>
    <xf numFmtId="0" fontId="4" fillId="0" borderId="0" xfId="0" applyFont="1" applyAlignment="1" applyProtection="1">
      <alignment horizontal="center"/>
      <protection locked="0"/>
    </xf>
    <xf numFmtId="0" fontId="7" fillId="0" borderId="4" xfId="0" applyFont="1" applyBorder="1" applyAlignment="1">
      <alignment horizontal="center" vertical="top" wrapText="1"/>
    </xf>
    <xf numFmtId="2" fontId="7" fillId="0" borderId="4" xfId="0" applyNumberFormat="1" applyFont="1" applyBorder="1" applyAlignment="1">
      <alignment horizontal="center" vertical="top" wrapText="1"/>
    </xf>
    <xf numFmtId="0" fontId="7" fillId="4" borderId="4" xfId="0" applyFont="1" applyFill="1" applyBorder="1" applyAlignment="1">
      <alignment horizontal="justify" vertical="top" wrapText="1"/>
    </xf>
    <xf numFmtId="2" fontId="7" fillId="4" borderId="4" xfId="0" applyNumberFormat="1" applyFont="1" applyFill="1" applyBorder="1" applyAlignment="1">
      <alignment horizontal="center" vertical="top" wrapText="1"/>
    </xf>
    <xf numFmtId="0" fontId="4" fillId="0" borderId="5" xfId="0" applyFont="1" applyBorder="1" applyAlignment="1" applyProtection="1">
      <alignment horizontal="center"/>
      <protection locked="0"/>
    </xf>
    <xf numFmtId="0" fontId="7" fillId="4" borderId="4" xfId="0" applyFont="1" applyFill="1" applyBorder="1" applyAlignment="1" applyProtection="1">
      <alignment horizontal="justify" vertical="top" wrapText="1"/>
      <protection locked="0"/>
    </xf>
    <xf numFmtId="0" fontId="4" fillId="4" borderId="4" xfId="0" applyFont="1" applyFill="1" applyBorder="1" applyAlignment="1" applyProtection="1">
      <alignment vertical="center" wrapText="1"/>
      <protection locked="0"/>
    </xf>
    <xf numFmtId="0" fontId="4" fillId="4" borderId="4" xfId="0" applyFont="1" applyFill="1" applyBorder="1" applyAlignment="1" applyProtection="1">
      <alignment horizontal="center" vertical="center" wrapText="1"/>
      <protection locked="0"/>
    </xf>
    <xf numFmtId="0" fontId="4" fillId="4" borderId="4" xfId="0" applyFont="1" applyFill="1" applyBorder="1" applyAlignment="1" applyProtection="1">
      <alignment horizontal="center" vertical="top" wrapText="1"/>
      <protection locked="0"/>
    </xf>
    <xf numFmtId="10" fontId="7" fillId="0" borderId="4" xfId="2" applyNumberFormat="1" applyFont="1" applyBorder="1" applyAlignment="1" applyProtection="1">
      <alignment horizontal="center" vertical="top" wrapText="1"/>
      <protection locked="0"/>
    </xf>
    <xf numFmtId="0" fontId="2" fillId="0" borderId="0" xfId="0" applyFont="1" applyProtection="1">
      <protection locked="0"/>
    </xf>
    <xf numFmtId="0" fontId="4" fillId="4" borderId="4" xfId="0" applyFont="1" applyFill="1" applyBorder="1" applyAlignment="1" applyProtection="1">
      <alignment vertical="top" wrapText="1"/>
      <protection locked="0"/>
    </xf>
    <xf numFmtId="10" fontId="7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0" xfId="0" applyFont="1" applyAlignment="1" applyProtection="1">
      <alignment horizontal="center" vertical="top" wrapText="1"/>
      <protection locked="0"/>
    </xf>
    <xf numFmtId="0" fontId="4" fillId="4" borderId="6" xfId="0" applyFont="1" applyFill="1" applyBorder="1" applyAlignment="1" applyProtection="1">
      <alignment horizontal="center" vertical="center" wrapText="1"/>
      <protection locked="0"/>
    </xf>
    <xf numFmtId="0" fontId="4" fillId="5" borderId="4" xfId="0" applyFont="1" applyFill="1" applyBorder="1" applyAlignment="1" applyProtection="1">
      <alignment horizontal="center" vertical="top" wrapText="1"/>
      <protection locked="0"/>
    </xf>
    <xf numFmtId="0" fontId="7" fillId="0" borderId="6" xfId="0" applyFont="1" applyBorder="1" applyAlignment="1" applyProtection="1">
      <alignment horizontal="center" vertical="top" wrapText="1"/>
      <protection locked="0"/>
    </xf>
    <xf numFmtId="2" fontId="22" fillId="0" borderId="0" xfId="0" applyNumberFormat="1" applyFont="1" applyAlignment="1" applyProtection="1">
      <alignment horizontal="center" vertical="top" wrapText="1"/>
      <protection locked="0"/>
    </xf>
    <xf numFmtId="0" fontId="2" fillId="0" borderId="0" xfId="0" applyFont="1" applyAlignment="1" applyProtection="1">
      <alignment wrapText="1"/>
      <protection locked="0"/>
    </xf>
    <xf numFmtId="0" fontId="4" fillId="4" borderId="6" xfId="2" applyNumberFormat="1" applyFont="1" applyFill="1" applyBorder="1" applyAlignment="1" applyProtection="1">
      <alignment horizontal="center" vertical="top" wrapText="1"/>
    </xf>
    <xf numFmtId="2" fontId="4" fillId="4" borderId="4" xfId="0" applyNumberFormat="1" applyFont="1" applyFill="1" applyBorder="1" applyAlignment="1">
      <alignment horizontal="center" vertical="top" wrapText="1"/>
    </xf>
    <xf numFmtId="2" fontId="2" fillId="0" borderId="0" xfId="0" applyNumberFormat="1" applyFont="1" applyAlignment="1" applyProtection="1">
      <alignment horizontal="center" vertical="top" wrapText="1"/>
      <protection locked="0"/>
    </xf>
    <xf numFmtId="0" fontId="14" fillId="0" borderId="0" xfId="0" applyFont="1" applyProtection="1">
      <protection locked="0"/>
    </xf>
    <xf numFmtId="0" fontId="23" fillId="0" borderId="0" xfId="0" applyFont="1" applyProtection="1">
      <protection locked="0"/>
    </xf>
    <xf numFmtId="2" fontId="23" fillId="0" borderId="0" xfId="0" applyNumberFormat="1" applyFont="1" applyAlignment="1" applyProtection="1">
      <alignment horizontal="center"/>
      <protection locked="0"/>
    </xf>
    <xf numFmtId="0" fontId="24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4" fillId="0" borderId="4" xfId="0" applyFont="1" applyBorder="1" applyAlignment="1" applyProtection="1">
      <alignment horizontal="center"/>
      <protection locked="0"/>
    </xf>
    <xf numFmtId="0" fontId="10" fillId="0" borderId="4" xfId="0" applyFont="1" applyBorder="1" applyProtection="1">
      <protection locked="0"/>
    </xf>
    <xf numFmtId="0" fontId="7" fillId="3" borderId="4" xfId="0" applyFont="1" applyFill="1" applyBorder="1" applyAlignment="1" applyProtection="1">
      <alignment vertical="top" wrapText="1"/>
      <protection locked="0"/>
    </xf>
    <xf numFmtId="0" fontId="4" fillId="0" borderId="4" xfId="0" applyFont="1" applyBorder="1" applyAlignment="1" applyProtection="1">
      <alignment horizontal="center" vertical="top" wrapText="1"/>
      <protection locked="0"/>
    </xf>
    <xf numFmtId="0" fontId="7" fillId="0" borderId="4" xfId="0" applyFont="1" applyBorder="1" applyAlignment="1" applyProtection="1">
      <alignment horizont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6" fillId="3" borderId="4" xfId="0" applyFont="1" applyFill="1" applyBorder="1" applyAlignment="1" applyProtection="1">
      <alignment vertical="top" wrapText="1"/>
      <protection locked="0"/>
    </xf>
    <xf numFmtId="0" fontId="4" fillId="0" borderId="4" xfId="0" applyFont="1" applyBorder="1" applyAlignment="1" applyProtection="1">
      <alignment horizontal="left" wrapText="1"/>
      <protection locked="0"/>
    </xf>
    <xf numFmtId="0" fontId="4" fillId="6" borderId="4" xfId="0" applyFont="1" applyFill="1" applyBorder="1" applyAlignment="1" applyProtection="1">
      <alignment horizontal="center" vertical="center" wrapText="1"/>
      <protection locked="0"/>
    </xf>
    <xf numFmtId="0" fontId="4" fillId="0" borderId="16" xfId="0" applyFont="1" applyBorder="1" applyAlignment="1" applyProtection="1">
      <alignment horizontal="center" vertical="center" wrapText="1"/>
      <protection locked="0"/>
    </xf>
    <xf numFmtId="0" fontId="4" fillId="0" borderId="15" xfId="0" applyFont="1" applyBorder="1" applyAlignment="1" applyProtection="1">
      <alignment horizontal="center" vertical="top" wrapText="1"/>
      <protection locked="0"/>
    </xf>
    <xf numFmtId="0" fontId="4" fillId="0" borderId="4" xfId="0" applyFont="1" applyBorder="1" applyAlignment="1" applyProtection="1">
      <alignment horizontal="left" vertical="top" wrapText="1"/>
      <protection locked="0"/>
    </xf>
    <xf numFmtId="0" fontId="12" fillId="0" borderId="2" xfId="0" applyFont="1" applyBorder="1" applyAlignment="1">
      <alignment horizontal="center" vertical="center" wrapText="1"/>
    </xf>
    <xf numFmtId="0" fontId="7" fillId="8" borderId="16" xfId="0" applyFont="1" applyFill="1" applyBorder="1" applyAlignment="1" applyProtection="1">
      <alignment horizontal="center" wrapText="1"/>
      <protection locked="0"/>
    </xf>
    <xf numFmtId="0" fontId="7" fillId="8" borderId="19" xfId="0" applyFont="1" applyFill="1" applyBorder="1" applyAlignment="1" applyProtection="1">
      <alignment horizontal="center" wrapText="1"/>
      <protection locked="0"/>
    </xf>
    <xf numFmtId="0" fontId="7" fillId="8" borderId="18" xfId="0" applyFont="1" applyFill="1" applyBorder="1" applyAlignment="1" applyProtection="1">
      <alignment vertical="center" wrapText="1"/>
      <protection locked="0"/>
    </xf>
    <xf numFmtId="0" fontId="4" fillId="6" borderId="7" xfId="0" applyFont="1" applyFill="1" applyBorder="1" applyAlignment="1" applyProtection="1">
      <alignment horizontal="center" vertical="center" wrapText="1"/>
      <protection locked="0"/>
    </xf>
    <xf numFmtId="0" fontId="7" fillId="6" borderId="20" xfId="0" applyFont="1" applyFill="1" applyBorder="1" applyAlignment="1" applyProtection="1">
      <alignment horizont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vertical="top" wrapText="1"/>
      <protection locked="0"/>
    </xf>
    <xf numFmtId="164" fontId="10" fillId="0" borderId="0" xfId="0" applyNumberFormat="1" applyFont="1" applyProtection="1">
      <protection locked="0"/>
    </xf>
    <xf numFmtId="39" fontId="7" fillId="0" borderId="4" xfId="0" applyNumberFormat="1" applyFont="1" applyBorder="1" applyAlignment="1">
      <alignment horizontal="center" vertical="top" wrapText="1"/>
    </xf>
    <xf numFmtId="2" fontId="4" fillId="6" borderId="4" xfId="0" applyNumberFormat="1" applyFont="1" applyFill="1" applyBorder="1" applyAlignment="1" applyProtection="1">
      <alignment horizontal="center" vertical="center" wrapText="1"/>
      <protection locked="0"/>
    </xf>
    <xf numFmtId="2" fontId="4" fillId="0" borderId="15" xfId="0" applyNumberFormat="1" applyFont="1" applyBorder="1" applyAlignment="1">
      <alignment horizontal="center" vertical="top" wrapText="1"/>
    </xf>
    <xf numFmtId="39" fontId="7" fillId="0" borderId="4" xfId="1" applyNumberFormat="1" applyFont="1" applyBorder="1" applyAlignment="1" applyProtection="1">
      <alignment horizontal="center" vertical="top" wrapText="1"/>
    </xf>
    <xf numFmtId="39" fontId="4" fillId="0" borderId="4" xfId="1" applyNumberFormat="1" applyFont="1" applyFill="1" applyBorder="1" applyAlignment="1" applyProtection="1">
      <alignment horizontal="center" vertical="top" wrapText="1"/>
    </xf>
    <xf numFmtId="39" fontId="7" fillId="0" borderId="4" xfId="1" applyNumberFormat="1" applyFont="1" applyFill="1" applyBorder="1" applyAlignment="1" applyProtection="1">
      <alignment horizontal="center" wrapText="1"/>
      <protection locked="0"/>
    </xf>
    <xf numFmtId="39" fontId="4" fillId="0" borderId="4" xfId="1" applyNumberFormat="1" applyFont="1" applyFill="1" applyBorder="1" applyAlignment="1" applyProtection="1">
      <alignment horizontal="center" wrapText="1"/>
      <protection locked="0"/>
    </xf>
    <xf numFmtId="4" fontId="7" fillId="0" borderId="4" xfId="0" applyNumberFormat="1" applyFont="1" applyBorder="1" applyAlignment="1">
      <alignment horizontal="center" vertical="top" wrapText="1"/>
    </xf>
    <xf numFmtId="4" fontId="7" fillId="4" borderId="4" xfId="0" applyNumberFormat="1" applyFont="1" applyFill="1" applyBorder="1" applyAlignment="1">
      <alignment horizontal="center" vertical="top" wrapText="1"/>
    </xf>
    <xf numFmtId="4" fontId="0" fillId="0" borderId="0" xfId="0" quotePrefix="1" applyNumberFormat="1" applyProtection="1">
      <protection locked="0"/>
    </xf>
    <xf numFmtId="0" fontId="4" fillId="8" borderId="16" xfId="0" applyFont="1" applyFill="1" applyBorder="1" applyAlignment="1" applyProtection="1">
      <alignment horizontal="center" vertical="center" wrapText="1"/>
      <protection locked="0"/>
    </xf>
    <xf numFmtId="0" fontId="4" fillId="8" borderId="4" xfId="0" applyFont="1" applyFill="1" applyBorder="1" applyAlignment="1">
      <alignment horizontal="center" vertical="center" wrapText="1"/>
    </xf>
    <xf numFmtId="0" fontId="10" fillId="0" borderId="0" xfId="0" applyFont="1"/>
    <xf numFmtId="0" fontId="49" fillId="0" borderId="0" xfId="0" applyFont="1"/>
    <xf numFmtId="165" fontId="49" fillId="0" borderId="0" xfId="0" applyNumberFormat="1" applyFont="1"/>
    <xf numFmtId="0" fontId="10" fillId="0" borderId="0" xfId="0" applyFont="1" applyAlignment="1">
      <alignment vertical="center"/>
    </xf>
    <xf numFmtId="0" fontId="50" fillId="0" borderId="0" xfId="0" applyFont="1"/>
    <xf numFmtId="0" fontId="0" fillId="7" borderId="0" xfId="0" applyFill="1"/>
    <xf numFmtId="0" fontId="51" fillId="7" borderId="0" xfId="0" applyFont="1" applyFill="1"/>
    <xf numFmtId="0" fontId="51" fillId="0" borderId="0" xfId="0" applyFont="1"/>
    <xf numFmtId="0" fontId="51" fillId="7" borderId="45" xfId="0" applyFont="1" applyFill="1" applyBorder="1" applyAlignment="1">
      <alignment horizontal="left" wrapText="1"/>
    </xf>
    <xf numFmtId="0" fontId="51" fillId="7" borderId="30" xfId="0" applyFont="1" applyFill="1" applyBorder="1" applyAlignment="1">
      <alignment horizontal="center" vertical="center" wrapText="1"/>
    </xf>
    <xf numFmtId="0" fontId="51" fillId="7" borderId="45" xfId="0" applyFont="1" applyFill="1" applyBorder="1" applyAlignment="1">
      <alignment horizontal="left" vertical="center" wrapText="1"/>
    </xf>
    <xf numFmtId="3" fontId="54" fillId="38" borderId="4" xfId="0" applyNumberFormat="1" applyFont="1" applyFill="1" applyBorder="1" applyAlignment="1">
      <alignment horizontal="center" vertical="center" wrapText="1"/>
    </xf>
    <xf numFmtId="0" fontId="51" fillId="7" borderId="45" xfId="0" applyFont="1" applyFill="1" applyBorder="1"/>
    <xf numFmtId="0" fontId="51" fillId="7" borderId="30" xfId="0" applyFont="1" applyFill="1" applyBorder="1"/>
    <xf numFmtId="0" fontId="52" fillId="7" borderId="45" xfId="0" applyFont="1" applyFill="1" applyBorder="1"/>
    <xf numFmtId="0" fontId="51" fillId="7" borderId="25" xfId="0" applyFont="1" applyFill="1" applyBorder="1"/>
    <xf numFmtId="0" fontId="51" fillId="7" borderId="26" xfId="0" applyFont="1" applyFill="1" applyBorder="1"/>
    <xf numFmtId="0" fontId="51" fillId="7" borderId="27" xfId="0" applyFont="1" applyFill="1" applyBorder="1"/>
    <xf numFmtId="0" fontId="55" fillId="0" borderId="0" xfId="0" applyFont="1" applyAlignment="1">
      <alignment horizontal="left" vertical="center" wrapText="1" indent="14"/>
    </xf>
    <xf numFmtId="0" fontId="55" fillId="0" borderId="0" xfId="0" applyFont="1" applyAlignment="1">
      <alignment vertical="center" wrapText="1"/>
    </xf>
    <xf numFmtId="0" fontId="57" fillId="0" borderId="0" xfId="0" applyFont="1"/>
    <xf numFmtId="0" fontId="58" fillId="41" borderId="0" xfId="0" applyFont="1" applyFill="1" applyAlignment="1">
      <alignment horizontal="center" vertical="center"/>
    </xf>
    <xf numFmtId="0" fontId="60" fillId="38" borderId="0" xfId="0" applyFont="1" applyFill="1" applyAlignment="1">
      <alignment horizontal="left" vertical="center"/>
    </xf>
    <xf numFmtId="0" fontId="60" fillId="38" borderId="0" xfId="0" applyFont="1" applyFill="1" applyAlignment="1">
      <alignment horizontal="left" vertical="top"/>
    </xf>
    <xf numFmtId="0" fontId="57" fillId="7" borderId="5" xfId="0" applyFont="1" applyFill="1" applyBorder="1" applyAlignment="1">
      <alignment horizontal="justify" vertical="center" wrapText="1"/>
    </xf>
    <xf numFmtId="0" fontId="57" fillId="7" borderId="0" xfId="0" applyFont="1" applyFill="1" applyAlignment="1">
      <alignment horizontal="justify" vertical="center" wrapText="1"/>
    </xf>
    <xf numFmtId="10" fontId="57" fillId="0" borderId="0" xfId="0" applyNumberFormat="1" applyFont="1"/>
    <xf numFmtId="0" fontId="60" fillId="11" borderId="4" xfId="0" applyFont="1" applyFill="1" applyBorder="1" applyAlignment="1" applyProtection="1">
      <alignment horizontal="center" vertical="center" wrapText="1"/>
      <protection hidden="1"/>
    </xf>
    <xf numFmtId="0" fontId="63" fillId="7" borderId="4" xfId="0" applyFont="1" applyFill="1" applyBorder="1" applyAlignment="1" applyProtection="1">
      <alignment horizontal="left" vertical="center" wrapText="1"/>
      <protection hidden="1"/>
    </xf>
    <xf numFmtId="0" fontId="60" fillId="9" borderId="4" xfId="0" applyFont="1" applyFill="1" applyBorder="1" applyAlignment="1" applyProtection="1">
      <alignment horizontal="center" vertical="center" wrapText="1"/>
      <protection hidden="1"/>
    </xf>
    <xf numFmtId="0" fontId="65" fillId="9" borderId="4" xfId="0" applyFont="1" applyFill="1" applyBorder="1" applyAlignment="1" applyProtection="1">
      <alignment horizontal="right" vertical="center" wrapText="1"/>
      <protection hidden="1"/>
    </xf>
    <xf numFmtId="170" fontId="66" fillId="7" borderId="4" xfId="0" applyNumberFormat="1" applyFont="1" applyFill="1" applyBorder="1" applyAlignment="1" applyProtection="1">
      <alignment horizontal="center" vertical="center"/>
      <protection hidden="1"/>
    </xf>
    <xf numFmtId="10" fontId="57" fillId="0" borderId="0" xfId="2" applyNumberFormat="1" applyFont="1"/>
    <xf numFmtId="0" fontId="60" fillId="11" borderId="16" xfId="0" applyFont="1" applyFill="1" applyBorder="1" applyAlignment="1" applyProtection="1">
      <alignment horizontal="center" vertical="center" wrapText="1"/>
      <protection hidden="1"/>
    </xf>
    <xf numFmtId="0" fontId="63" fillId="7" borderId="16" xfId="0" applyFont="1" applyFill="1" applyBorder="1" applyAlignment="1" applyProtection="1">
      <alignment horizontal="left" vertical="center" wrapText="1"/>
      <protection hidden="1"/>
    </xf>
    <xf numFmtId="10" fontId="63" fillId="0" borderId="16" xfId="2" applyNumberFormat="1" applyFont="1" applyFill="1" applyBorder="1" applyAlignment="1" applyProtection="1">
      <alignment horizontal="center" vertical="center" wrapText="1"/>
      <protection hidden="1"/>
    </xf>
    <xf numFmtId="10" fontId="63" fillId="0" borderId="4" xfId="2" applyNumberFormat="1" applyFont="1" applyFill="1" applyBorder="1" applyAlignment="1" applyProtection="1">
      <alignment horizontal="center" vertical="center" wrapText="1"/>
      <protection hidden="1"/>
    </xf>
    <xf numFmtId="0" fontId="67" fillId="38" borderId="55" xfId="0" applyFont="1" applyFill="1" applyBorder="1" applyAlignment="1" applyProtection="1">
      <alignment horizontal="center" vertical="center" wrapText="1"/>
      <protection hidden="1"/>
    </xf>
    <xf numFmtId="0" fontId="68" fillId="38" borderId="56" xfId="0" applyFont="1" applyFill="1" applyBorder="1" applyAlignment="1" applyProtection="1">
      <alignment horizontal="right" vertical="center" wrapText="1"/>
      <protection hidden="1"/>
    </xf>
    <xf numFmtId="10" fontId="62" fillId="38" borderId="57" xfId="2" applyNumberFormat="1" applyFont="1" applyFill="1" applyBorder="1" applyAlignment="1" applyProtection="1">
      <alignment horizontal="center" vertical="center" wrapText="1"/>
      <protection hidden="1"/>
    </xf>
    <xf numFmtId="0" fontId="57" fillId="0" borderId="0" xfId="0" quotePrefix="1" applyFont="1"/>
    <xf numFmtId="0" fontId="70" fillId="0" borderId="0" xfId="64" applyFont="1"/>
    <xf numFmtId="0" fontId="56" fillId="0" borderId="0" xfId="0" applyFont="1" applyAlignment="1">
      <alignment vertical="center"/>
    </xf>
    <xf numFmtId="172" fontId="56" fillId="0" borderId="0" xfId="66" applyFont="1" applyAlignment="1">
      <alignment vertical="center"/>
    </xf>
    <xf numFmtId="0" fontId="55" fillId="38" borderId="0" xfId="0" applyFont="1" applyFill="1" applyAlignment="1">
      <alignment horizontal="left"/>
    </xf>
    <xf numFmtId="0" fontId="55" fillId="38" borderId="0" xfId="0" applyFont="1" applyFill="1" applyAlignment="1">
      <alignment horizontal="left" vertical="center"/>
    </xf>
    <xf numFmtId="0" fontId="55" fillId="38" borderId="0" xfId="0" applyFont="1" applyFill="1" applyAlignment="1">
      <alignment horizontal="left" vertical="top"/>
    </xf>
    <xf numFmtId="0" fontId="75" fillId="41" borderId="0" xfId="0" applyFont="1" applyFill="1" applyAlignment="1">
      <alignment horizontal="center" vertical="center"/>
    </xf>
    <xf numFmtId="0" fontId="56" fillId="7" borderId="4" xfId="0" applyFont="1" applyFill="1" applyBorder="1" applyAlignment="1">
      <alignment horizontal="center" vertical="center"/>
    </xf>
    <xf numFmtId="0" fontId="56" fillId="0" borderId="0" xfId="0" applyFont="1" applyAlignment="1">
      <alignment horizontal="center" vertical="center"/>
    </xf>
    <xf numFmtId="0" fontId="56" fillId="0" borderId="0" xfId="0" applyFont="1" applyAlignment="1">
      <alignment horizontal="center" vertical="center" wrapText="1"/>
    </xf>
    <xf numFmtId="172" fontId="55" fillId="44" borderId="0" xfId="66" applyFont="1" applyFill="1" applyBorder="1" applyAlignment="1">
      <alignment vertical="center"/>
    </xf>
    <xf numFmtId="0" fontId="56" fillId="7" borderId="0" xfId="0" applyFont="1" applyFill="1" applyAlignment="1">
      <alignment horizontal="center" vertical="center"/>
    </xf>
    <xf numFmtId="0" fontId="56" fillId="45" borderId="0" xfId="0" applyFont="1" applyFill="1" applyAlignment="1">
      <alignment horizontal="center" vertical="center"/>
    </xf>
    <xf numFmtId="0" fontId="67" fillId="36" borderId="0" xfId="0" applyFont="1" applyFill="1" applyAlignment="1">
      <alignment horizontal="center" vertical="center"/>
    </xf>
    <xf numFmtId="0" fontId="78" fillId="8" borderId="0" xfId="0" applyFont="1" applyFill="1" applyAlignment="1">
      <alignment horizontal="center" vertical="center"/>
    </xf>
    <xf numFmtId="0" fontId="79" fillId="40" borderId="0" xfId="0" applyFont="1" applyFill="1" applyAlignment="1">
      <alignment horizontal="center" vertical="center"/>
    </xf>
    <xf numFmtId="0" fontId="55" fillId="8" borderId="48" xfId="0" applyFont="1" applyFill="1" applyBorder="1" applyAlignment="1">
      <alignment horizontal="center" vertical="center"/>
    </xf>
    <xf numFmtId="0" fontId="78" fillId="8" borderId="4" xfId="0" applyFont="1" applyFill="1" applyBorder="1" applyAlignment="1">
      <alignment vertical="center"/>
    </xf>
    <xf numFmtId="0" fontId="78" fillId="8" borderId="49" xfId="0" applyFont="1" applyFill="1" applyBorder="1" applyAlignment="1">
      <alignment vertical="center"/>
    </xf>
    <xf numFmtId="0" fontId="78" fillId="8" borderId="0" xfId="0" applyFont="1" applyFill="1" applyAlignment="1">
      <alignment vertical="center"/>
    </xf>
    <xf numFmtId="0" fontId="56" fillId="0" borderId="4" xfId="0" applyFont="1" applyBorder="1" applyAlignment="1">
      <alignment vertical="center"/>
    </xf>
    <xf numFmtId="43" fontId="78" fillId="3" borderId="49" xfId="65" applyFont="1" applyFill="1" applyBorder="1" applyAlignment="1">
      <alignment vertical="center"/>
    </xf>
    <xf numFmtId="43" fontId="80" fillId="3" borderId="0" xfId="65" applyFont="1" applyFill="1" applyBorder="1" applyAlignment="1">
      <alignment vertical="center"/>
    </xf>
    <xf numFmtId="43" fontId="80" fillId="3" borderId="49" xfId="65" applyFont="1" applyFill="1" applyBorder="1" applyAlignment="1">
      <alignment vertical="center"/>
    </xf>
    <xf numFmtId="0" fontId="55" fillId="8" borderId="15" xfId="0" applyFont="1" applyFill="1" applyBorder="1" applyAlignment="1">
      <alignment vertical="center"/>
    </xf>
    <xf numFmtId="43" fontId="78" fillId="8" borderId="59" xfId="65" applyFont="1" applyFill="1" applyBorder="1" applyAlignment="1">
      <alignment vertical="center"/>
    </xf>
    <xf numFmtId="43" fontId="78" fillId="8" borderId="0" xfId="65" applyFont="1" applyFill="1" applyBorder="1" applyAlignment="1">
      <alignment vertical="center"/>
    </xf>
    <xf numFmtId="0" fontId="80" fillId="0" borderId="0" xfId="0" applyFont="1" applyAlignment="1">
      <alignment horizontal="left" vertical="top" wrapText="1"/>
    </xf>
    <xf numFmtId="0" fontId="80" fillId="45" borderId="0" xfId="0" applyFont="1" applyFill="1" applyAlignment="1">
      <alignment horizontal="left" vertical="top" wrapText="1"/>
    </xf>
    <xf numFmtId="0" fontId="55" fillId="8" borderId="0" xfId="0" applyFont="1" applyFill="1" applyAlignment="1">
      <alignment horizontal="center" vertical="center"/>
    </xf>
    <xf numFmtId="0" fontId="55" fillId="8" borderId="48" xfId="0" applyFont="1" applyFill="1" applyBorder="1" applyAlignment="1">
      <alignment horizontal="center" vertical="center" wrapText="1"/>
    </xf>
    <xf numFmtId="0" fontId="55" fillId="8" borderId="4" xfId="0" applyFont="1" applyFill="1" applyBorder="1" applyAlignment="1">
      <alignment horizontal="center" vertical="center" wrapText="1"/>
    </xf>
    <xf numFmtId="0" fontId="55" fillId="8" borderId="4" xfId="0" applyFont="1" applyFill="1" applyBorder="1" applyAlignment="1">
      <alignment horizontal="center" vertical="center"/>
    </xf>
    <xf numFmtId="0" fontId="55" fillId="8" borderId="49" xfId="0" applyFont="1" applyFill="1" applyBorder="1" applyAlignment="1">
      <alignment horizontal="center" vertical="center" wrapText="1"/>
    </xf>
    <xf numFmtId="0" fontId="55" fillId="8" borderId="0" xfId="0" applyFont="1" applyFill="1" applyAlignment="1">
      <alignment horizontal="center" vertical="center" wrapText="1"/>
    </xf>
    <xf numFmtId="10" fontId="74" fillId="0" borderId="4" xfId="2" applyNumberFormat="1" applyFont="1" applyBorder="1" applyAlignment="1">
      <alignment vertical="center"/>
    </xf>
    <xf numFmtId="10" fontId="74" fillId="3" borderId="4" xfId="2" applyNumberFormat="1" applyFont="1" applyFill="1" applyBorder="1" applyAlignment="1">
      <alignment vertical="center"/>
    </xf>
    <xf numFmtId="10" fontId="81" fillId="8" borderId="15" xfId="2" applyNumberFormat="1" applyFont="1" applyFill="1" applyBorder="1" applyAlignment="1">
      <alignment vertical="center"/>
    </xf>
    <xf numFmtId="0" fontId="56" fillId="0" borderId="0" xfId="0" applyFont="1" applyAlignment="1">
      <alignment horizontal="left" vertical="center"/>
    </xf>
    <xf numFmtId="0" fontId="79" fillId="13" borderId="0" xfId="0" applyFont="1" applyFill="1" applyAlignment="1">
      <alignment horizontal="center" vertical="center" wrapText="1"/>
    </xf>
    <xf numFmtId="0" fontId="55" fillId="8" borderId="49" xfId="0" applyFont="1" applyFill="1" applyBorder="1" applyAlignment="1">
      <alignment horizontal="center" vertical="center"/>
    </xf>
    <xf numFmtId="0" fontId="55" fillId="8" borderId="65" xfId="0" applyFont="1" applyFill="1" applyBorder="1" applyAlignment="1">
      <alignment vertical="center"/>
    </xf>
    <xf numFmtId="10" fontId="55" fillId="8" borderId="15" xfId="0" applyNumberFormat="1" applyFont="1" applyFill="1" applyBorder="1" applyAlignment="1">
      <alignment vertical="center"/>
    </xf>
    <xf numFmtId="0" fontId="56" fillId="46" borderId="0" xfId="0" applyFont="1" applyFill="1" applyAlignment="1">
      <alignment horizontal="left" vertical="center" wrapText="1"/>
    </xf>
    <xf numFmtId="0" fontId="56" fillId="0" borderId="0" xfId="0" applyFont="1" applyAlignment="1">
      <alignment horizontal="left" vertical="center" wrapText="1"/>
    </xf>
    <xf numFmtId="0" fontId="77" fillId="7" borderId="0" xfId="0" applyFont="1" applyFill="1" applyAlignment="1">
      <alignment horizontal="left" vertical="center" wrapText="1"/>
    </xf>
    <xf numFmtId="0" fontId="79" fillId="36" borderId="0" xfId="0" applyFont="1" applyFill="1" applyAlignment="1">
      <alignment horizontal="center" vertical="center" wrapText="1"/>
    </xf>
    <xf numFmtId="0" fontId="55" fillId="8" borderId="46" xfId="0" applyFont="1" applyFill="1" applyBorder="1" applyAlignment="1">
      <alignment horizontal="center" vertical="center"/>
    </xf>
    <xf numFmtId="0" fontId="55" fillId="8" borderId="18" xfId="0" applyFont="1" applyFill="1" applyBorder="1" applyAlignment="1">
      <alignment horizontal="center" vertical="center"/>
    </xf>
    <xf numFmtId="0" fontId="72" fillId="8" borderId="18" xfId="0" applyFont="1" applyFill="1" applyBorder="1" applyAlignment="1">
      <alignment horizontal="center" vertical="center"/>
    </xf>
    <xf numFmtId="0" fontId="55" fillId="8" borderId="47" xfId="0" applyFont="1" applyFill="1" applyBorder="1" applyAlignment="1">
      <alignment horizontal="center" vertical="center"/>
    </xf>
    <xf numFmtId="0" fontId="56" fillId="0" borderId="4" xfId="0" applyFont="1" applyBorder="1" applyAlignment="1">
      <alignment vertical="center" wrapText="1"/>
    </xf>
    <xf numFmtId="43" fontId="80" fillId="3" borderId="49" xfId="65" applyFont="1" applyFill="1" applyBorder="1" applyAlignment="1">
      <alignment horizontal="center" vertical="center"/>
    </xf>
    <xf numFmtId="43" fontId="80" fillId="3" borderId="0" xfId="65" applyFont="1" applyFill="1" applyBorder="1" applyAlignment="1">
      <alignment horizontal="center" vertical="center"/>
    </xf>
    <xf numFmtId="0" fontId="55" fillId="8" borderId="66" xfId="0" applyFont="1" applyFill="1" applyBorder="1" applyAlignment="1">
      <alignment horizontal="center" vertical="center"/>
    </xf>
    <xf numFmtId="0" fontId="56" fillId="0" borderId="16" xfId="0" applyFont="1" applyBorder="1" applyAlignment="1">
      <alignment vertical="center"/>
    </xf>
    <xf numFmtId="0" fontId="56" fillId="7" borderId="16" xfId="0" applyFont="1" applyFill="1" applyBorder="1" applyAlignment="1">
      <alignment horizontal="center" vertical="center"/>
    </xf>
    <xf numFmtId="43" fontId="80" fillId="3" borderId="67" xfId="65" applyFont="1" applyFill="1" applyBorder="1" applyAlignment="1">
      <alignment vertical="center"/>
    </xf>
    <xf numFmtId="0" fontId="55" fillId="8" borderId="18" xfId="0" applyFont="1" applyFill="1" applyBorder="1" applyAlignment="1">
      <alignment vertical="center"/>
    </xf>
    <xf numFmtId="10" fontId="56" fillId="0" borderId="0" xfId="2" applyNumberFormat="1" applyFont="1" applyAlignment="1">
      <alignment vertical="center"/>
    </xf>
    <xf numFmtId="0" fontId="79" fillId="36" borderId="0" xfId="0" applyFont="1" applyFill="1" applyAlignment="1">
      <alignment horizontal="center" vertical="center"/>
    </xf>
    <xf numFmtId="10" fontId="55" fillId="8" borderId="15" xfId="2" applyNumberFormat="1" applyFont="1" applyFill="1" applyBorder="1" applyAlignment="1">
      <alignment horizontal="right" vertical="center"/>
    </xf>
    <xf numFmtId="0" fontId="86" fillId="0" borderId="0" xfId="0" applyFont="1" applyAlignment="1">
      <alignment horizontal="left" vertical="center" wrapText="1"/>
    </xf>
    <xf numFmtId="0" fontId="86" fillId="0" borderId="0" xfId="0" applyFont="1" applyAlignment="1">
      <alignment horizontal="left" vertical="top" wrapText="1"/>
    </xf>
    <xf numFmtId="0" fontId="55" fillId="8" borderId="0" xfId="0" applyFont="1" applyFill="1" applyAlignment="1">
      <alignment horizontal="left" vertical="center" wrapText="1"/>
    </xf>
    <xf numFmtId="0" fontId="55" fillId="0" borderId="48" xfId="0" applyFont="1" applyBorder="1" applyAlignment="1">
      <alignment horizontal="center" vertical="center"/>
    </xf>
    <xf numFmtId="10" fontId="78" fillId="8" borderId="4" xfId="0" applyNumberFormat="1" applyFont="1" applyFill="1" applyBorder="1" applyAlignment="1">
      <alignment horizontal="right" vertical="center"/>
    </xf>
    <xf numFmtId="43" fontId="78" fillId="8" borderId="49" xfId="65" applyFont="1" applyFill="1" applyBorder="1" applyAlignment="1">
      <alignment horizontal="right" vertical="center"/>
    </xf>
    <xf numFmtId="43" fontId="78" fillId="8" borderId="0" xfId="65" applyFont="1" applyFill="1" applyBorder="1" applyAlignment="1">
      <alignment horizontal="right" vertical="center"/>
    </xf>
    <xf numFmtId="43" fontId="56" fillId="0" borderId="0" xfId="0" applyNumberFormat="1" applyFont="1" applyAlignment="1">
      <alignment vertical="center"/>
    </xf>
    <xf numFmtId="10" fontId="80" fillId="3" borderId="4" xfId="0" applyNumberFormat="1" applyFont="1" applyFill="1" applyBorder="1" applyAlignment="1">
      <alignment horizontal="center" vertical="center"/>
    </xf>
    <xf numFmtId="10" fontId="78" fillId="8" borderId="15" xfId="2" applyNumberFormat="1" applyFont="1" applyFill="1" applyBorder="1" applyAlignment="1">
      <alignment horizontal="center" vertical="center"/>
    </xf>
    <xf numFmtId="43" fontId="78" fillId="8" borderId="59" xfId="65" applyFont="1" applyFill="1" applyBorder="1" applyAlignment="1">
      <alignment horizontal="center" vertical="center"/>
    </xf>
    <xf numFmtId="43" fontId="78" fillId="8" borderId="0" xfId="65" applyFont="1" applyFill="1" applyBorder="1" applyAlignment="1">
      <alignment horizontal="center" vertical="center"/>
    </xf>
    <xf numFmtId="0" fontId="55" fillId="47" borderId="48" xfId="0" applyFont="1" applyFill="1" applyBorder="1" applyAlignment="1">
      <alignment horizontal="center" vertical="center"/>
    </xf>
    <xf numFmtId="0" fontId="55" fillId="47" borderId="4" xfId="0" applyFont="1" applyFill="1" applyBorder="1" applyAlignment="1">
      <alignment horizontal="center" vertical="center"/>
    </xf>
    <xf numFmtId="0" fontId="55" fillId="47" borderId="49" xfId="0" applyFont="1" applyFill="1" applyBorder="1" applyAlignment="1">
      <alignment horizontal="center" vertical="center"/>
    </xf>
    <xf numFmtId="0" fontId="55" fillId="47" borderId="0" xfId="0" applyFont="1" applyFill="1" applyAlignment="1">
      <alignment horizontal="center" vertical="center"/>
    </xf>
    <xf numFmtId="0" fontId="56" fillId="47" borderId="4" xfId="0" applyFont="1" applyFill="1" applyBorder="1" applyAlignment="1">
      <alignment vertical="center" wrapText="1"/>
    </xf>
    <xf numFmtId="43" fontId="56" fillId="47" borderId="4" xfId="65" applyFont="1" applyFill="1" applyBorder="1" applyAlignment="1">
      <alignment vertical="center"/>
    </xf>
    <xf numFmtId="43" fontId="80" fillId="47" borderId="49" xfId="65" applyFont="1" applyFill="1" applyBorder="1" applyAlignment="1">
      <alignment vertical="center"/>
    </xf>
    <xf numFmtId="43" fontId="80" fillId="47" borderId="0" xfId="65" applyFont="1" applyFill="1" applyBorder="1" applyAlignment="1">
      <alignment vertical="center"/>
    </xf>
    <xf numFmtId="43" fontId="56" fillId="47" borderId="15" xfId="65" applyFont="1" applyFill="1" applyBorder="1" applyAlignment="1">
      <alignment vertical="center"/>
    </xf>
    <xf numFmtId="43" fontId="56" fillId="47" borderId="59" xfId="0" applyNumberFormat="1" applyFont="1" applyFill="1" applyBorder="1" applyAlignment="1">
      <alignment vertical="center"/>
    </xf>
    <xf numFmtId="43" fontId="56" fillId="47" borderId="0" xfId="0" applyNumberFormat="1" applyFont="1" applyFill="1" applyAlignment="1">
      <alignment vertical="center"/>
    </xf>
    <xf numFmtId="0" fontId="55" fillId="8" borderId="4" xfId="0" applyFont="1" applyFill="1" applyBorder="1" applyAlignment="1">
      <alignment vertical="center"/>
    </xf>
    <xf numFmtId="0" fontId="56" fillId="47" borderId="4" xfId="0" applyFont="1" applyFill="1" applyBorder="1" applyAlignment="1">
      <alignment vertical="center"/>
    </xf>
    <xf numFmtId="0" fontId="74" fillId="8" borderId="47" xfId="0" applyFont="1" applyFill="1" applyBorder="1" applyAlignment="1">
      <alignment horizontal="center" vertical="center" wrapText="1"/>
    </xf>
    <xf numFmtId="0" fontId="74" fillId="8" borderId="0" xfId="0" applyFont="1" applyFill="1" applyAlignment="1">
      <alignment horizontal="center" vertical="center" wrapText="1"/>
    </xf>
    <xf numFmtId="0" fontId="55" fillId="0" borderId="4" xfId="0" applyFont="1" applyBorder="1" applyAlignment="1">
      <alignment vertical="center"/>
    </xf>
    <xf numFmtId="10" fontId="78" fillId="0" borderId="4" xfId="0" applyNumberFormat="1" applyFont="1" applyBorder="1" applyAlignment="1">
      <alignment vertical="center"/>
    </xf>
    <xf numFmtId="43" fontId="78" fillId="8" borderId="49" xfId="65" applyFont="1" applyFill="1" applyBorder="1" applyAlignment="1">
      <alignment vertical="center"/>
    </xf>
    <xf numFmtId="0" fontId="88" fillId="0" borderId="48" xfId="0" applyFont="1" applyBorder="1" applyAlignment="1">
      <alignment horizontal="center" vertical="center"/>
    </xf>
    <xf numFmtId="0" fontId="88" fillId="0" borderId="4" xfId="0" applyFont="1" applyBorder="1" applyAlignment="1">
      <alignment vertical="center"/>
    </xf>
    <xf numFmtId="43" fontId="80" fillId="8" borderId="49" xfId="65" applyFont="1" applyFill="1" applyBorder="1" applyAlignment="1">
      <alignment horizontal="right" vertical="center"/>
    </xf>
    <xf numFmtId="43" fontId="80" fillId="8" borderId="0" xfId="65" applyFont="1" applyFill="1" applyBorder="1" applyAlignment="1">
      <alignment horizontal="right" vertical="center"/>
    </xf>
    <xf numFmtId="0" fontId="55" fillId="46" borderId="48" xfId="0" applyFont="1" applyFill="1" applyBorder="1" applyAlignment="1">
      <alignment horizontal="center" vertical="center"/>
    </xf>
    <xf numFmtId="0" fontId="56" fillId="46" borderId="4" xfId="0" applyFont="1" applyFill="1" applyBorder="1" applyAlignment="1">
      <alignment vertical="center" wrapText="1"/>
    </xf>
    <xf numFmtId="43" fontId="80" fillId="46" borderId="49" xfId="65" applyFont="1" applyFill="1" applyBorder="1" applyAlignment="1">
      <alignment horizontal="right" vertical="center"/>
    </xf>
    <xf numFmtId="43" fontId="80" fillId="46" borderId="0" xfId="65" applyFont="1" applyFill="1" applyBorder="1" applyAlignment="1">
      <alignment horizontal="right" vertical="center"/>
    </xf>
    <xf numFmtId="10" fontId="78" fillId="8" borderId="15" xfId="0" applyNumberFormat="1" applyFont="1" applyFill="1" applyBorder="1" applyAlignment="1">
      <alignment vertical="center"/>
    </xf>
    <xf numFmtId="43" fontId="55" fillId="8" borderId="59" xfId="65" applyFont="1" applyFill="1" applyBorder="1" applyAlignment="1">
      <alignment vertical="center"/>
    </xf>
    <xf numFmtId="43" fontId="55" fillId="8" borderId="0" xfId="65" applyFont="1" applyFill="1" applyBorder="1" applyAlignment="1">
      <alignment vertical="center"/>
    </xf>
    <xf numFmtId="172" fontId="56" fillId="0" borderId="0" xfId="66" applyFont="1" applyBorder="1" applyAlignment="1">
      <alignment horizontal="left" vertical="center" wrapText="1"/>
    </xf>
    <xf numFmtId="0" fontId="55" fillId="8" borderId="11" xfId="0" applyFont="1" applyFill="1" applyBorder="1" applyAlignment="1">
      <alignment horizontal="center" vertical="center"/>
    </xf>
    <xf numFmtId="43" fontId="56" fillId="3" borderId="6" xfId="65" applyFont="1" applyFill="1" applyBorder="1" applyAlignment="1">
      <alignment vertical="center"/>
    </xf>
    <xf numFmtId="43" fontId="56" fillId="3" borderId="0" xfId="65" applyFont="1" applyFill="1" applyBorder="1" applyAlignment="1">
      <alignment vertical="center"/>
    </xf>
    <xf numFmtId="43" fontId="55" fillId="8" borderId="6" xfId="65" applyFont="1" applyFill="1" applyBorder="1" applyAlignment="1">
      <alignment vertical="center"/>
    </xf>
    <xf numFmtId="0" fontId="89" fillId="41" borderId="15" xfId="0" applyFont="1" applyFill="1" applyBorder="1" applyAlignment="1">
      <alignment vertical="center"/>
    </xf>
    <xf numFmtId="43" fontId="89" fillId="41" borderId="70" xfId="65" applyFont="1" applyFill="1" applyBorder="1" applyAlignment="1">
      <alignment vertical="center"/>
    </xf>
    <xf numFmtId="43" fontId="89" fillId="41" borderId="0" xfId="65" applyFont="1" applyFill="1" applyBorder="1" applyAlignment="1">
      <alignment vertical="center"/>
    </xf>
    <xf numFmtId="0" fontId="97" fillId="41" borderId="13" xfId="0" applyFont="1" applyFill="1" applyBorder="1" applyAlignment="1">
      <alignment horizontal="center" vertical="center" wrapText="1"/>
    </xf>
    <xf numFmtId="171" fontId="52" fillId="38" borderId="6" xfId="1" applyNumberFormat="1" applyFont="1" applyFill="1" applyBorder="1" applyAlignment="1" applyProtection="1">
      <alignment horizontal="center" vertical="center" wrapText="1"/>
    </xf>
    <xf numFmtId="0" fontId="101" fillId="0" borderId="0" xfId="0" applyFont="1" applyAlignment="1">
      <alignment vertical="center"/>
    </xf>
    <xf numFmtId="0" fontId="57" fillId="0" borderId="0" xfId="0" applyFont="1" applyAlignment="1">
      <alignment vertical="center"/>
    </xf>
    <xf numFmtId="0" fontId="57" fillId="0" borderId="0" xfId="0" applyFont="1" applyAlignment="1">
      <alignment horizontal="center" vertical="center"/>
    </xf>
    <xf numFmtId="0" fontId="60" fillId="40" borderId="4" xfId="0" applyFont="1" applyFill="1" applyBorder="1" applyAlignment="1">
      <alignment horizontal="center" vertical="center" wrapText="1"/>
    </xf>
    <xf numFmtId="0" fontId="60" fillId="40" borderId="77" xfId="0" applyFont="1" applyFill="1" applyBorder="1" applyAlignment="1">
      <alignment horizontal="center" vertical="center" wrapText="1"/>
    </xf>
    <xf numFmtId="0" fontId="57" fillId="0" borderId="78" xfId="0" applyFont="1" applyBorder="1" applyAlignment="1">
      <alignment horizontal="center" vertical="center"/>
    </xf>
    <xf numFmtId="0" fontId="104" fillId="0" borderId="79" xfId="0" applyFont="1" applyBorder="1" applyAlignment="1">
      <alignment vertical="center" wrapText="1"/>
    </xf>
    <xf numFmtId="174" fontId="63" fillId="0" borderId="18" xfId="0" applyNumberFormat="1" applyFont="1" applyBorder="1" applyAlignment="1">
      <alignment horizontal="center" vertical="center" wrapText="1"/>
    </xf>
    <xf numFmtId="171" fontId="63" fillId="0" borderId="18" xfId="0" applyNumberFormat="1" applyFont="1" applyBorder="1" applyAlignment="1">
      <alignment horizontal="center" vertical="center" wrapText="1"/>
    </xf>
    <xf numFmtId="0" fontId="104" fillId="0" borderId="80" xfId="0" applyFont="1" applyBorder="1" applyAlignment="1">
      <alignment vertical="center" wrapText="1"/>
    </xf>
    <xf numFmtId="174" fontId="63" fillId="0" borderId="4" xfId="0" applyNumberFormat="1" applyFont="1" applyBorder="1" applyAlignment="1">
      <alignment horizontal="center" vertical="center" wrapText="1"/>
    </xf>
    <xf numFmtId="171" fontId="63" fillId="0" borderId="4" xfId="0" applyNumberFormat="1" applyFont="1" applyBorder="1" applyAlignment="1">
      <alignment horizontal="center" vertical="center" wrapText="1"/>
    </xf>
    <xf numFmtId="174" fontId="63" fillId="0" borderId="16" xfId="0" applyNumberFormat="1" applyFont="1" applyBorder="1" applyAlignment="1">
      <alignment horizontal="center" vertical="center" wrapText="1"/>
    </xf>
    <xf numFmtId="0" fontId="57" fillId="0" borderId="45" xfId="0" applyFont="1" applyBorder="1" applyAlignment="1">
      <alignment vertical="center"/>
    </xf>
    <xf numFmtId="0" fontId="60" fillId="8" borderId="6" xfId="0" applyFont="1" applyFill="1" applyBorder="1" applyAlignment="1">
      <alignment horizontal="right" vertical="center"/>
    </xf>
    <xf numFmtId="0" fontId="60" fillId="8" borderId="13" xfId="0" applyFont="1" applyFill="1" applyBorder="1" applyAlignment="1">
      <alignment horizontal="right" vertical="center"/>
    </xf>
    <xf numFmtId="171" fontId="60" fillId="8" borderId="7" xfId="0" applyNumberFormat="1" applyFont="1" applyFill="1" applyBorder="1" applyAlignment="1">
      <alignment horizontal="right" vertical="center"/>
    </xf>
    <xf numFmtId="0" fontId="86" fillId="0" borderId="25" xfId="0" applyFont="1" applyBorder="1" applyAlignment="1">
      <alignment vertical="center"/>
    </xf>
    <xf numFmtId="0" fontId="86" fillId="0" borderId="26" xfId="0" applyFont="1" applyBorder="1" applyAlignment="1">
      <alignment vertical="center"/>
    </xf>
    <xf numFmtId="0" fontId="102" fillId="36" borderId="21" xfId="0" applyFont="1" applyFill="1" applyBorder="1" applyAlignment="1">
      <alignment vertical="center"/>
    </xf>
    <xf numFmtId="0" fontId="102" fillId="36" borderId="22" xfId="0" applyFont="1" applyFill="1" applyBorder="1" applyAlignment="1">
      <alignment vertical="center"/>
    </xf>
    <xf numFmtId="0" fontId="60" fillId="40" borderId="72" xfId="0" applyFont="1" applyFill="1" applyBorder="1" applyAlignment="1">
      <alignment vertical="center" wrapText="1"/>
    </xf>
    <xf numFmtId="0" fontId="60" fillId="40" borderId="81" xfId="0" applyFont="1" applyFill="1" applyBorder="1" applyAlignment="1">
      <alignment vertical="center" wrapText="1"/>
    </xf>
    <xf numFmtId="0" fontId="104" fillId="0" borderId="0" xfId="0" applyFont="1" applyAlignment="1">
      <alignment vertical="center" wrapText="1"/>
    </xf>
    <xf numFmtId="171" fontId="60" fillId="40" borderId="7" xfId="0" applyNumberFormat="1" applyFont="1" applyFill="1" applyBorder="1" applyAlignment="1">
      <alignment vertical="center"/>
    </xf>
    <xf numFmtId="171" fontId="60" fillId="48" borderId="7" xfId="0" applyNumberFormat="1" applyFont="1" applyFill="1" applyBorder="1" applyAlignment="1">
      <alignment vertical="center"/>
    </xf>
    <xf numFmtId="0" fontId="60" fillId="43" borderId="18" xfId="0" applyFont="1" applyFill="1" applyBorder="1" applyAlignment="1">
      <alignment horizontal="center" vertical="center" wrapText="1"/>
    </xf>
    <xf numFmtId="0" fontId="60" fillId="43" borderId="77" xfId="0" applyFont="1" applyFill="1" applyBorder="1" applyAlignment="1">
      <alignment horizontal="center" vertical="center" wrapText="1"/>
    </xf>
    <xf numFmtId="171" fontId="60" fillId="43" borderId="7" xfId="0" applyNumberFormat="1" applyFont="1" applyFill="1" applyBorder="1" applyAlignment="1">
      <alignment vertical="center"/>
    </xf>
    <xf numFmtId="0" fontId="54" fillId="9" borderId="24" xfId="0" applyFont="1" applyFill="1" applyBorder="1" applyAlignment="1">
      <alignment horizontal="center" vertical="top" wrapText="1"/>
    </xf>
    <xf numFmtId="0" fontId="54" fillId="9" borderId="30" xfId="0" applyFont="1" applyFill="1" applyBorder="1" applyAlignment="1">
      <alignment horizontal="center" vertical="top" wrapText="1"/>
    </xf>
    <xf numFmtId="0" fontId="106" fillId="9" borderId="30" xfId="0" applyFont="1" applyFill="1" applyBorder="1" applyAlignment="1">
      <alignment horizontal="center" vertical="top" wrapText="1"/>
    </xf>
    <xf numFmtId="0" fontId="54" fillId="9" borderId="27" xfId="0" applyFont="1" applyFill="1" applyBorder="1" applyAlignment="1">
      <alignment horizontal="center" vertical="top" wrapText="1"/>
    </xf>
    <xf numFmtId="0" fontId="54" fillId="0" borderId="28" xfId="0" applyFont="1" applyBorder="1" applyAlignment="1">
      <alignment horizontal="center" vertical="top" wrapText="1"/>
    </xf>
    <xf numFmtId="0" fontId="54" fillId="7" borderId="28" xfId="0" applyFont="1" applyFill="1" applyBorder="1" applyAlignment="1">
      <alignment horizontal="center" vertical="top" wrapText="1"/>
    </xf>
    <xf numFmtId="0" fontId="54" fillId="39" borderId="0" xfId="0" applyFont="1" applyFill="1"/>
    <xf numFmtId="0" fontId="51" fillId="39" borderId="0" xfId="0" applyFont="1" applyFill="1"/>
    <xf numFmtId="0" fontId="52" fillId="41" borderId="11" xfId="0" applyFont="1" applyFill="1" applyBorder="1" applyAlignment="1">
      <alignment horizontal="center"/>
    </xf>
    <xf numFmtId="0" fontId="52" fillId="41" borderId="12" xfId="0" applyFont="1" applyFill="1" applyBorder="1" applyAlignment="1">
      <alignment horizontal="center"/>
    </xf>
    <xf numFmtId="0" fontId="60" fillId="10" borderId="18" xfId="0" applyFont="1" applyFill="1" applyBorder="1" applyAlignment="1">
      <alignment horizontal="center" vertical="center" wrapText="1"/>
    </xf>
    <xf numFmtId="0" fontId="52" fillId="13" borderId="4" xfId="0" applyFont="1" applyFill="1" applyBorder="1" applyAlignment="1">
      <alignment horizontal="center" vertical="center" wrapText="1"/>
    </xf>
    <xf numFmtId="0" fontId="111" fillId="13" borderId="4" xfId="0" applyFont="1" applyFill="1" applyBorder="1" applyAlignment="1">
      <alignment horizontal="center" vertical="center"/>
    </xf>
    <xf numFmtId="0" fontId="101" fillId="7" borderId="0" xfId="0" applyFont="1" applyFill="1" applyAlignment="1">
      <alignment vertical="center"/>
    </xf>
    <xf numFmtId="0" fontId="57" fillId="7" borderId="0" xfId="0" applyFont="1" applyFill="1"/>
    <xf numFmtId="0" fontId="63" fillId="38" borderId="6" xfId="0" applyFont="1" applyFill="1" applyBorder="1" applyAlignment="1">
      <alignment vertical="center"/>
    </xf>
    <xf numFmtId="0" fontId="106" fillId="36" borderId="6" xfId="0" applyFont="1" applyFill="1" applyBorder="1" applyAlignment="1">
      <alignment horizontal="right" vertical="center"/>
    </xf>
    <xf numFmtId="0" fontId="63" fillId="7" borderId="0" xfId="0" applyFont="1" applyFill="1"/>
    <xf numFmtId="0" fontId="57" fillId="7" borderId="0" xfId="0" applyFont="1" applyFill="1" applyAlignment="1">
      <alignment vertical="center"/>
    </xf>
    <xf numFmtId="0" fontId="63" fillId="38" borderId="4" xfId="0" applyFont="1" applyFill="1" applyBorder="1" applyAlignment="1">
      <alignment horizontal="right" vertical="center"/>
    </xf>
    <xf numFmtId="0" fontId="0" fillId="7" borderId="0" xfId="0" applyFill="1" applyAlignment="1">
      <alignment vertical="center"/>
    </xf>
    <xf numFmtId="0" fontId="0" fillId="0" borderId="0" xfId="0" applyAlignment="1">
      <alignment vertical="center"/>
    </xf>
    <xf numFmtId="0" fontId="115" fillId="38" borderId="4" xfId="0" applyFont="1" applyFill="1" applyBorder="1" applyAlignment="1">
      <alignment horizontal="right" vertical="center"/>
    </xf>
    <xf numFmtId="0" fontId="63" fillId="38" borderId="45" xfId="0" applyFont="1" applyFill="1" applyBorder="1" applyAlignment="1">
      <alignment horizontal="right" vertical="center"/>
    </xf>
    <xf numFmtId="0" fontId="63" fillId="5" borderId="45" xfId="0" applyFont="1" applyFill="1" applyBorder="1" applyAlignment="1">
      <alignment horizontal="right" vertical="center"/>
    </xf>
    <xf numFmtId="0" fontId="106" fillId="36" borderId="68" xfId="0" applyFont="1" applyFill="1" applyBorder="1" applyAlignment="1">
      <alignment horizontal="right" vertical="center" indent="1"/>
    </xf>
    <xf numFmtId="0" fontId="106" fillId="36" borderId="58" xfId="0" applyFont="1" applyFill="1" applyBorder="1" applyAlignment="1">
      <alignment horizontal="right" vertical="center" indent="1"/>
    </xf>
    <xf numFmtId="0" fontId="60" fillId="38" borderId="45" xfId="0" applyFont="1" applyFill="1" applyBorder="1" applyAlignment="1">
      <alignment horizontal="left" vertical="center"/>
    </xf>
    <xf numFmtId="0" fontId="60" fillId="38" borderId="30" xfId="0" applyFont="1" applyFill="1" applyBorder="1" applyAlignment="1">
      <alignment horizontal="left" vertical="center"/>
    </xf>
    <xf numFmtId="9" fontId="63" fillId="5" borderId="5" xfId="2" applyFont="1" applyFill="1" applyBorder="1" applyAlignment="1" applyProtection="1">
      <alignment horizontal="center" vertical="center"/>
    </xf>
    <xf numFmtId="9" fontId="63" fillId="5" borderId="84" xfId="2" applyFont="1" applyFill="1" applyBorder="1" applyAlignment="1" applyProtection="1">
      <alignment horizontal="center" vertical="center"/>
    </xf>
    <xf numFmtId="0" fontId="65" fillId="38" borderId="68" xfId="0" applyFont="1" applyFill="1" applyBorder="1" applyAlignment="1">
      <alignment horizontal="right" vertical="center"/>
    </xf>
    <xf numFmtId="0" fontId="63" fillId="38" borderId="68" xfId="0" applyFont="1" applyFill="1" applyBorder="1" applyAlignment="1">
      <alignment horizontal="right" vertical="center"/>
    </xf>
    <xf numFmtId="164" fontId="114" fillId="5" borderId="0" xfId="5" applyFont="1" applyFill="1" applyBorder="1" applyAlignment="1" applyProtection="1">
      <alignment horizontal="center" vertical="center"/>
    </xf>
    <xf numFmtId="164" fontId="114" fillId="5" borderId="30" xfId="5" applyFont="1" applyFill="1" applyBorder="1" applyAlignment="1" applyProtection="1">
      <alignment horizontal="center" vertical="center"/>
    </xf>
    <xf numFmtId="0" fontId="63" fillId="38" borderId="46" xfId="0" applyFont="1" applyFill="1" applyBorder="1" applyAlignment="1">
      <alignment horizontal="right" vertical="center"/>
    </xf>
    <xf numFmtId="172" fontId="56" fillId="0" borderId="0" xfId="66" quotePrefix="1" applyFont="1" applyAlignment="1">
      <alignment vertical="center"/>
    </xf>
    <xf numFmtId="0" fontId="117" fillId="38" borderId="4" xfId="0" applyFont="1" applyFill="1" applyBorder="1" applyAlignment="1">
      <alignment horizontal="right" vertical="center"/>
    </xf>
    <xf numFmtId="0" fontId="57" fillId="38" borderId="6" xfId="0" applyFont="1" applyFill="1" applyBorder="1" applyAlignment="1">
      <alignment vertical="center"/>
    </xf>
    <xf numFmtId="0" fontId="57" fillId="38" borderId="6" xfId="0" applyFont="1" applyFill="1" applyBorder="1" applyAlignment="1">
      <alignment vertical="center" wrapText="1"/>
    </xf>
    <xf numFmtId="0" fontId="76" fillId="0" borderId="4" xfId="0" applyFont="1" applyBorder="1" applyAlignment="1">
      <alignment vertical="center"/>
    </xf>
    <xf numFmtId="171" fontId="57" fillId="0" borderId="0" xfId="0" applyNumberFormat="1" applyFont="1" applyAlignment="1">
      <alignment vertical="center"/>
    </xf>
    <xf numFmtId="171" fontId="103" fillId="8" borderId="7" xfId="0" applyNumberFormat="1" applyFont="1" applyFill="1" applyBorder="1" applyAlignment="1">
      <alignment horizontal="right" vertical="center"/>
    </xf>
    <xf numFmtId="0" fontId="57" fillId="0" borderId="4" xfId="0" applyFont="1" applyBorder="1" applyAlignment="1">
      <alignment horizontal="center" vertical="center"/>
    </xf>
    <xf numFmtId="0" fontId="104" fillId="0" borderId="4" xfId="0" applyFont="1" applyBorder="1" applyAlignment="1">
      <alignment horizontal="justify" vertical="center" wrapText="1"/>
    </xf>
    <xf numFmtId="0" fontId="104" fillId="0" borderId="82" xfId="0" applyFont="1" applyBorder="1" applyAlignment="1">
      <alignment horizontal="justify" vertical="center" wrapText="1"/>
    </xf>
    <xf numFmtId="0" fontId="55" fillId="0" borderId="5" xfId="0" applyFont="1" applyBorder="1" applyAlignment="1">
      <alignment horizontal="left" vertical="center" wrapText="1" indent="14"/>
    </xf>
    <xf numFmtId="0" fontId="60" fillId="38" borderId="0" xfId="0" applyFont="1" applyFill="1" applyAlignment="1">
      <alignment wrapText="1"/>
    </xf>
    <xf numFmtId="0" fontId="55" fillId="0" borderId="26" xfId="0" applyFont="1" applyBorder="1" applyAlignment="1">
      <alignment horizontal="left" vertical="center" wrapText="1" indent="16"/>
    </xf>
    <xf numFmtId="0" fontId="124" fillId="0" borderId="0" xfId="0" applyFont="1"/>
    <xf numFmtId="0" fontId="0" fillId="40" borderId="25" xfId="0" applyFill="1" applyBorder="1"/>
    <xf numFmtId="0" fontId="0" fillId="40" borderId="26" xfId="0" applyFill="1" applyBorder="1"/>
    <xf numFmtId="0" fontId="0" fillId="40" borderId="27" xfId="0" applyFill="1" applyBorder="1"/>
    <xf numFmtId="0" fontId="81" fillId="40" borderId="45" xfId="0" applyFont="1" applyFill="1" applyBorder="1" applyAlignment="1">
      <alignment horizontal="left" vertical="top" indent="2"/>
    </xf>
    <xf numFmtId="0" fontId="81" fillId="40" borderId="0" xfId="0" applyFont="1" applyFill="1" applyAlignment="1">
      <alignment horizontal="left" vertical="top" indent="2"/>
    </xf>
    <xf numFmtId="0" fontId="81" fillId="40" borderId="30" xfId="0" applyFont="1" applyFill="1" applyBorder="1" applyAlignment="1">
      <alignment horizontal="left" vertical="top" indent="2"/>
    </xf>
    <xf numFmtId="0" fontId="60" fillId="43" borderId="83" xfId="0" applyFont="1" applyFill="1" applyBorder="1" applyAlignment="1">
      <alignment horizontal="center" vertical="center" wrapText="1"/>
    </xf>
    <xf numFmtId="0" fontId="122" fillId="43" borderId="5" xfId="0" applyFont="1" applyFill="1" applyBorder="1" applyAlignment="1">
      <alignment horizontal="center" vertical="center" wrapText="1"/>
    </xf>
    <xf numFmtId="0" fontId="51" fillId="7" borderId="45" xfId="0" applyFont="1" applyFill="1" applyBorder="1" applyAlignment="1">
      <alignment horizontal="left"/>
    </xf>
    <xf numFmtId="0" fontId="51" fillId="7" borderId="30" xfId="0" applyFont="1" applyFill="1" applyBorder="1" applyAlignment="1">
      <alignment horizontal="left"/>
    </xf>
    <xf numFmtId="43" fontId="0" fillId="0" borderId="0" xfId="0" applyNumberFormat="1"/>
    <xf numFmtId="175" fontId="0" fillId="0" borderId="0" xfId="65" applyNumberFormat="1" applyFont="1"/>
    <xf numFmtId="176" fontId="0" fillId="0" borderId="0" xfId="0" applyNumberFormat="1"/>
    <xf numFmtId="3" fontId="54" fillId="7" borderId="31" xfId="0" applyNumberFormat="1" applyFont="1" applyFill="1" applyBorder="1" applyAlignment="1" applyProtection="1">
      <alignment horizontal="center" vertical="top" wrapText="1"/>
      <protection locked="0"/>
    </xf>
    <xf numFmtId="167" fontId="51" fillId="7" borderId="7" xfId="66" applyNumberFormat="1" applyFont="1" applyFill="1" applyBorder="1" applyAlignment="1">
      <alignment vertical="center"/>
    </xf>
    <xf numFmtId="167" fontId="61" fillId="7" borderId="7" xfId="66" applyNumberFormat="1" applyFont="1" applyFill="1" applyBorder="1" applyAlignment="1" applyProtection="1">
      <alignment horizontal="right" vertical="center"/>
    </xf>
    <xf numFmtId="1" fontId="104" fillId="7" borderId="18" xfId="0" applyNumberFormat="1" applyFont="1" applyFill="1" applyBorder="1" applyAlignment="1">
      <alignment horizontal="center" vertical="center" wrapText="1"/>
    </xf>
    <xf numFmtId="0" fontId="104" fillId="7" borderId="18" xfId="0" applyFont="1" applyFill="1" applyBorder="1" applyAlignment="1">
      <alignment horizontal="center" vertical="center" wrapText="1"/>
    </xf>
    <xf numFmtId="0" fontId="104" fillId="7" borderId="4" xfId="0" applyFont="1" applyFill="1" applyBorder="1" applyAlignment="1">
      <alignment horizontal="center" vertical="center" wrapText="1"/>
    </xf>
    <xf numFmtId="0" fontId="104" fillId="7" borderId="16" xfId="0" applyFont="1" applyFill="1" applyBorder="1" applyAlignment="1">
      <alignment horizontal="center" vertical="center" wrapText="1"/>
    </xf>
    <xf numFmtId="0" fontId="123" fillId="43" borderId="4" xfId="0" applyFont="1" applyFill="1" applyBorder="1" applyAlignment="1">
      <alignment vertical="center" wrapText="1"/>
    </xf>
    <xf numFmtId="0" fontId="123" fillId="40" borderId="4" xfId="0" applyFont="1" applyFill="1" applyBorder="1" applyAlignment="1">
      <alignment vertical="center" wrapText="1"/>
    </xf>
    <xf numFmtId="0" fontId="57" fillId="0" borderId="81" xfId="0" applyFont="1" applyBorder="1" applyAlignment="1">
      <alignment horizontal="center" vertical="center"/>
    </xf>
    <xf numFmtId="0" fontId="60" fillId="40" borderId="4" xfId="0" applyFont="1" applyFill="1" applyBorder="1" applyAlignment="1">
      <alignment vertical="center" wrapText="1"/>
    </xf>
    <xf numFmtId="0" fontId="60" fillId="43" borderId="4" xfId="0" applyFont="1" applyFill="1" applyBorder="1" applyAlignment="1">
      <alignment vertical="center" wrapText="1"/>
    </xf>
    <xf numFmtId="164" fontId="129" fillId="7" borderId="0" xfId="0" applyNumberFormat="1" applyFont="1" applyFill="1"/>
    <xf numFmtId="0" fontId="77" fillId="12" borderId="4" xfId="0" applyFont="1" applyFill="1" applyBorder="1" applyAlignment="1" applyProtection="1">
      <alignment vertical="center"/>
      <protection locked="0"/>
    </xf>
    <xf numFmtId="43" fontId="80" fillId="12" borderId="49" xfId="65" applyFont="1" applyFill="1" applyBorder="1" applyAlignment="1" applyProtection="1">
      <alignment vertical="center"/>
      <protection locked="0"/>
    </xf>
    <xf numFmtId="10" fontId="56" fillId="12" borderId="4" xfId="0" applyNumberFormat="1" applyFont="1" applyFill="1" applyBorder="1" applyAlignment="1" applyProtection="1">
      <alignment vertical="center"/>
      <protection locked="0"/>
    </xf>
    <xf numFmtId="10" fontId="82" fillId="12" borderId="4" xfId="0" applyNumberFormat="1" applyFont="1" applyFill="1" applyBorder="1" applyAlignment="1" applyProtection="1">
      <alignment vertical="center"/>
      <protection locked="0"/>
    </xf>
    <xf numFmtId="173" fontId="80" fillId="12" borderId="4" xfId="0" applyNumberFormat="1" applyFont="1" applyFill="1" applyBorder="1" applyAlignment="1" applyProtection="1">
      <alignment horizontal="right" vertical="center"/>
      <protection locked="0"/>
    </xf>
    <xf numFmtId="10" fontId="80" fillId="12" borderId="4" xfId="0" applyNumberFormat="1" applyFont="1" applyFill="1" applyBorder="1" applyAlignment="1" applyProtection="1">
      <alignment horizontal="right" vertical="center"/>
      <protection locked="0"/>
    </xf>
    <xf numFmtId="10" fontId="80" fillId="12" borderId="4" xfId="2" applyNumberFormat="1" applyFont="1" applyFill="1" applyBorder="1" applyAlignment="1" applyProtection="1">
      <alignment horizontal="right" vertical="center"/>
      <protection locked="0"/>
    </xf>
    <xf numFmtId="173" fontId="80" fillId="12" borderId="4" xfId="0" applyNumberFormat="1" applyFont="1" applyFill="1" applyBorder="1" applyAlignment="1" applyProtection="1">
      <alignment vertical="center"/>
      <protection locked="0"/>
    </xf>
    <xf numFmtId="0" fontId="56" fillId="12" borderId="4" xfId="0" applyFont="1" applyFill="1" applyBorder="1" applyAlignment="1" applyProtection="1">
      <alignment vertical="center"/>
      <protection locked="0"/>
    </xf>
    <xf numFmtId="0" fontId="74" fillId="12" borderId="18" xfId="0" applyFont="1" applyFill="1" applyBorder="1" applyAlignment="1" applyProtection="1">
      <alignment horizontal="center" vertical="center" wrapText="1"/>
      <protection locked="0"/>
    </xf>
    <xf numFmtId="10" fontId="78" fillId="12" borderId="4" xfId="0" applyNumberFormat="1" applyFont="1" applyFill="1" applyBorder="1" applyAlignment="1" applyProtection="1">
      <alignment vertical="center"/>
      <protection locked="0"/>
    </xf>
    <xf numFmtId="10" fontId="80" fillId="12" borderId="4" xfId="0" applyNumberFormat="1" applyFont="1" applyFill="1" applyBorder="1" applyAlignment="1" applyProtection="1">
      <alignment vertical="center"/>
      <protection locked="0"/>
    </xf>
    <xf numFmtId="164" fontId="56" fillId="12" borderId="4" xfId="1" applyFont="1" applyFill="1" applyBorder="1" applyAlignment="1" applyProtection="1">
      <alignment vertical="center"/>
      <protection locked="0"/>
    </xf>
    <xf numFmtId="0" fontId="55" fillId="8" borderId="18" xfId="0" applyFont="1" applyFill="1" applyBorder="1" applyAlignment="1" applyProtection="1">
      <alignment horizontal="center" vertical="center"/>
      <protection locked="0"/>
    </xf>
    <xf numFmtId="170" fontId="57" fillId="12" borderId="4" xfId="2" applyNumberFormat="1" applyFont="1" applyFill="1" applyBorder="1" applyAlignment="1" applyProtection="1">
      <alignment horizontal="center" vertical="center"/>
      <protection locked="0"/>
    </xf>
    <xf numFmtId="0" fontId="61" fillId="12" borderId="6" xfId="0" applyFont="1" applyFill="1" applyBorder="1" applyAlignment="1" applyProtection="1">
      <alignment vertical="center"/>
      <protection locked="0"/>
    </xf>
    <xf numFmtId="167" fontId="118" fillId="12" borderId="4" xfId="66" applyNumberFormat="1" applyFont="1" applyFill="1" applyBorder="1" applyAlignment="1" applyProtection="1">
      <alignment horizontal="left" vertical="center"/>
      <protection locked="0"/>
    </xf>
    <xf numFmtId="171" fontId="63" fillId="12" borderId="18" xfId="0" applyNumberFormat="1" applyFont="1" applyFill="1" applyBorder="1" applyAlignment="1" applyProtection="1">
      <alignment horizontal="center" vertical="center" wrapText="1"/>
      <protection locked="0"/>
    </xf>
    <xf numFmtId="171" fontId="63" fillId="12" borderId="4" xfId="0" applyNumberFormat="1" applyFont="1" applyFill="1" applyBorder="1" applyAlignment="1" applyProtection="1">
      <alignment horizontal="center" vertical="center" wrapText="1"/>
      <protection locked="0"/>
    </xf>
    <xf numFmtId="171" fontId="63" fillId="12" borderId="16" xfId="0" applyNumberFormat="1" applyFont="1" applyFill="1" applyBorder="1" applyAlignment="1" applyProtection="1">
      <alignment horizontal="center" vertical="center" wrapText="1"/>
      <protection locked="0"/>
    </xf>
    <xf numFmtId="0" fontId="104" fillId="12" borderId="4" xfId="0" applyFont="1" applyFill="1" applyBorder="1" applyAlignment="1" applyProtection="1">
      <alignment vertical="center" wrapText="1"/>
      <protection locked="0"/>
    </xf>
    <xf numFmtId="174" fontId="63" fillId="12" borderId="4" xfId="0" applyNumberFormat="1" applyFont="1" applyFill="1" applyBorder="1" applyAlignment="1" applyProtection="1">
      <alignment horizontal="center" vertical="center" wrapText="1"/>
      <protection locked="0"/>
    </xf>
    <xf numFmtId="174" fontId="63" fillId="12" borderId="16" xfId="0" applyNumberFormat="1" applyFont="1" applyFill="1" applyBorder="1" applyAlignment="1" applyProtection="1">
      <alignment horizontal="center" vertical="center" wrapText="1"/>
      <protection locked="0"/>
    </xf>
    <xf numFmtId="0" fontId="104" fillId="12" borderId="82" xfId="0" applyFont="1" applyFill="1" applyBorder="1" applyAlignment="1" applyProtection="1">
      <alignment vertical="center" wrapText="1"/>
      <protection locked="0"/>
    </xf>
    <xf numFmtId="0" fontId="104" fillId="12" borderId="76" xfId="0" applyFont="1" applyFill="1" applyBorder="1" applyAlignment="1" applyProtection="1">
      <alignment vertical="center" wrapText="1"/>
      <protection locked="0"/>
    </xf>
    <xf numFmtId="0" fontId="104" fillId="12" borderId="80" xfId="0" applyFont="1" applyFill="1" applyBorder="1" applyAlignment="1" applyProtection="1">
      <alignment vertical="center" wrapText="1"/>
      <protection locked="0"/>
    </xf>
    <xf numFmtId="0" fontId="104" fillId="12" borderId="79" xfId="0" applyFont="1" applyFill="1" applyBorder="1" applyAlignment="1" applyProtection="1">
      <alignment vertical="center" wrapText="1"/>
      <protection locked="0"/>
    </xf>
    <xf numFmtId="171" fontId="51" fillId="7" borderId="0" xfId="0" applyNumberFormat="1" applyFont="1" applyFill="1"/>
    <xf numFmtId="43" fontId="51" fillId="7" borderId="0" xfId="0" applyNumberFormat="1" applyFont="1" applyFill="1"/>
    <xf numFmtId="164" fontId="49" fillId="0" borderId="0" xfId="1" applyFont="1"/>
    <xf numFmtId="43" fontId="10" fillId="0" borderId="0" xfId="0" applyNumberFormat="1" applyFont="1"/>
    <xf numFmtId="167" fontId="61" fillId="12" borderId="4" xfId="66" applyNumberFormat="1" applyFont="1" applyFill="1" applyBorder="1" applyAlignment="1" applyProtection="1">
      <alignment horizontal="left" vertical="center"/>
      <protection locked="0"/>
    </xf>
    <xf numFmtId="0" fontId="60" fillId="38" borderId="5" xfId="0" applyFont="1" applyFill="1" applyBorder="1" applyAlignment="1">
      <alignment horizontal="left" vertical="top"/>
    </xf>
    <xf numFmtId="0" fontId="60" fillId="38" borderId="45" xfId="0" applyFont="1" applyFill="1" applyBorder="1" applyAlignment="1">
      <alignment horizontal="left" vertical="top"/>
    </xf>
    <xf numFmtId="0" fontId="60" fillId="38" borderId="30" xfId="0" applyFont="1" applyFill="1" applyBorder="1" applyAlignment="1">
      <alignment horizontal="left" vertical="top"/>
    </xf>
    <xf numFmtId="0" fontId="60" fillId="38" borderId="83" xfId="0" applyFont="1" applyFill="1" applyBorder="1" applyAlignment="1">
      <alignment horizontal="left" vertical="top"/>
    </xf>
    <xf numFmtId="0" fontId="60" fillId="38" borderId="84" xfId="0" applyFont="1" applyFill="1" applyBorder="1" applyAlignment="1">
      <alignment horizontal="left" vertical="top"/>
    </xf>
    <xf numFmtId="0" fontId="56" fillId="12" borderId="49" xfId="0" applyFont="1" applyFill="1" applyBorder="1" applyAlignment="1" applyProtection="1">
      <alignment horizontal="center" vertical="center"/>
      <protection locked="0"/>
    </xf>
    <xf numFmtId="0" fontId="56" fillId="7" borderId="49" xfId="0" applyFont="1" applyFill="1" applyBorder="1" applyAlignment="1">
      <alignment horizontal="center" vertical="center"/>
    </xf>
    <xf numFmtId="0" fontId="56" fillId="0" borderId="49" xfId="0" applyFont="1" applyBorder="1" applyAlignment="1">
      <alignment horizontal="center" vertical="center"/>
    </xf>
    <xf numFmtId="0" fontId="55" fillId="0" borderId="67" xfId="0" applyFont="1" applyBorder="1" applyAlignment="1">
      <alignment horizontal="center" vertical="center" wrapText="1"/>
    </xf>
    <xf numFmtId="0" fontId="55" fillId="44" borderId="48" xfId="0" applyFont="1" applyFill="1" applyBorder="1" applyAlignment="1">
      <alignment horizontal="center" vertical="center"/>
    </xf>
    <xf numFmtId="44" fontId="76" fillId="12" borderId="49" xfId="1" applyNumberFormat="1" applyFont="1" applyFill="1" applyBorder="1" applyAlignment="1" applyProtection="1">
      <alignment vertical="center"/>
      <protection locked="0"/>
    </xf>
    <xf numFmtId="0" fontId="77" fillId="12" borderId="49" xfId="0" applyFont="1" applyFill="1" applyBorder="1" applyAlignment="1" applyProtection="1">
      <alignment horizontal="left" vertical="center" wrapText="1"/>
      <protection locked="0"/>
    </xf>
    <xf numFmtId="17" fontId="56" fillId="12" borderId="49" xfId="0" applyNumberFormat="1" applyFont="1" applyFill="1" applyBorder="1" applyAlignment="1" applyProtection="1">
      <alignment horizontal="center" vertical="center"/>
      <protection locked="0"/>
    </xf>
    <xf numFmtId="0" fontId="55" fillId="0" borderId="65" xfId="0" applyFont="1" applyBorder="1" applyAlignment="1">
      <alignment horizontal="center" vertical="center"/>
    </xf>
    <xf numFmtId="0" fontId="55" fillId="7" borderId="59" xfId="0" applyFont="1" applyFill="1" applyBorder="1" applyAlignment="1">
      <alignment horizontal="center" vertical="center"/>
    </xf>
    <xf numFmtId="0" fontId="55" fillId="0" borderId="49" xfId="0" applyFont="1" applyBorder="1" applyAlignment="1">
      <alignment horizontal="center" vertical="center" wrapText="1"/>
    </xf>
    <xf numFmtId="0" fontId="55" fillId="7" borderId="67" xfId="0" applyFont="1" applyFill="1" applyBorder="1" applyAlignment="1">
      <alignment horizontal="center" vertical="center" wrapText="1"/>
    </xf>
    <xf numFmtId="167" fontId="61" fillId="7" borderId="7" xfId="66" applyNumberFormat="1" applyFont="1" applyFill="1" applyBorder="1" applyAlignment="1" applyProtection="1">
      <alignment vertical="center"/>
    </xf>
    <xf numFmtId="2" fontId="54" fillId="0" borderId="10" xfId="65" applyNumberFormat="1" applyFont="1" applyBorder="1" applyAlignment="1">
      <alignment horizontal="center" vertical="center" wrapText="1"/>
    </xf>
    <xf numFmtId="0" fontId="52" fillId="13" borderId="16" xfId="0" applyFont="1" applyFill="1" applyBorder="1" applyAlignment="1">
      <alignment horizontal="center" wrapText="1"/>
    </xf>
    <xf numFmtId="0" fontId="52" fillId="13" borderId="16" xfId="0" applyFont="1" applyFill="1" applyBorder="1" applyAlignment="1">
      <alignment horizontal="center" vertical="center" wrapText="1"/>
    </xf>
    <xf numFmtId="0" fontId="51" fillId="0" borderId="63" xfId="0" applyFont="1" applyBorder="1" applyAlignment="1">
      <alignment horizontal="left" vertical="center" wrapText="1" indent="1"/>
    </xf>
    <xf numFmtId="2" fontId="107" fillId="0" borderId="14" xfId="65" applyNumberFormat="1" applyFont="1" applyFill="1" applyBorder="1" applyAlignment="1" applyProtection="1">
      <alignment horizontal="center" vertical="center" wrapText="1"/>
    </xf>
    <xf numFmtId="0" fontId="51" fillId="0" borderId="65" xfId="0" applyFont="1" applyBorder="1" applyAlignment="1">
      <alignment horizontal="left" vertical="center" wrapText="1" indent="1"/>
    </xf>
    <xf numFmtId="2" fontId="107" fillId="0" borderId="15" xfId="65" applyNumberFormat="1" applyFont="1" applyFill="1" applyBorder="1" applyAlignment="1" applyProtection="1">
      <alignment horizontal="center" vertical="center" wrapText="1"/>
    </xf>
    <xf numFmtId="171" fontId="52" fillId="38" borderId="13" xfId="1" applyNumberFormat="1" applyFont="1" applyFill="1" applyBorder="1" applyAlignment="1" applyProtection="1">
      <alignment horizontal="center" vertical="center" wrapText="1"/>
    </xf>
    <xf numFmtId="0" fontId="51" fillId="38" borderId="4" xfId="0" applyFont="1" applyFill="1" applyBorder="1" applyAlignment="1">
      <alignment horizontal="left" vertical="center" wrapText="1"/>
    </xf>
    <xf numFmtId="0" fontId="51" fillId="12" borderId="0" xfId="0" applyFont="1" applyFill="1" applyAlignment="1" applyProtection="1">
      <alignment horizontal="left" vertical="center" wrapText="1"/>
      <protection locked="0"/>
    </xf>
    <xf numFmtId="0" fontId="51" fillId="12" borderId="0" xfId="0" applyFont="1" applyFill="1" applyAlignment="1" applyProtection="1">
      <alignment horizontal="left" wrapText="1"/>
      <protection locked="0"/>
    </xf>
    <xf numFmtId="0" fontId="51" fillId="7" borderId="0" xfId="0" applyFont="1" applyFill="1" applyAlignment="1">
      <alignment vertical="center" wrapText="1"/>
    </xf>
    <xf numFmtId="0" fontId="52" fillId="10" borderId="13" xfId="0" applyFont="1" applyFill="1" applyBorder="1" applyAlignment="1">
      <alignment horizontal="right" vertical="center" indent="1"/>
    </xf>
    <xf numFmtId="164" fontId="52" fillId="38" borderId="4" xfId="1" applyFont="1" applyFill="1" applyBorder="1" applyAlignment="1" applyProtection="1">
      <alignment horizontal="center" vertical="center"/>
    </xf>
    <xf numFmtId="164" fontId="52" fillId="38" borderId="4" xfId="1" applyFont="1" applyFill="1" applyBorder="1" applyAlignment="1" applyProtection="1">
      <alignment horizontal="left" vertical="center"/>
    </xf>
    <xf numFmtId="164" fontId="52" fillId="10" borderId="71" xfId="1" applyFont="1" applyFill="1" applyBorder="1" applyAlignment="1" applyProtection="1">
      <alignment horizontal="center" vertical="center"/>
    </xf>
    <xf numFmtId="164" fontId="52" fillId="10" borderId="49" xfId="1" applyFont="1" applyFill="1" applyBorder="1" applyAlignment="1" applyProtection="1">
      <alignment horizontal="center" vertical="center"/>
    </xf>
    <xf numFmtId="0" fontId="51" fillId="7" borderId="0" xfId="0" applyFont="1" applyFill="1" applyAlignment="1">
      <alignment vertical="center"/>
    </xf>
    <xf numFmtId="43" fontId="51" fillId="7" borderId="0" xfId="0" applyNumberFormat="1" applyFont="1" applyFill="1" applyAlignment="1">
      <alignment vertical="center"/>
    </xf>
    <xf numFmtId="0" fontId="51" fillId="0" borderId="0" xfId="0" applyFont="1" applyAlignment="1">
      <alignment vertical="center"/>
    </xf>
    <xf numFmtId="10" fontId="51" fillId="7" borderId="0" xfId="2" applyNumberFormat="1" applyFont="1" applyFill="1" applyAlignment="1">
      <alignment vertical="center"/>
    </xf>
    <xf numFmtId="0" fontId="131" fillId="0" borderId="0" xfId="0" applyFont="1" applyAlignment="1" applyProtection="1">
      <alignment horizontal="left" vertical="center" wrapText="1"/>
      <protection locked="0"/>
    </xf>
    <xf numFmtId="0" fontId="51" fillId="7" borderId="0" xfId="0" applyFont="1" applyFill="1" applyAlignment="1">
      <alignment horizontal="center" vertical="center" wrapText="1"/>
    </xf>
    <xf numFmtId="0" fontId="52" fillId="7" borderId="0" xfId="0" applyFont="1" applyFill="1" applyAlignment="1">
      <alignment horizontal="center" vertical="center" wrapText="1"/>
    </xf>
    <xf numFmtId="0" fontId="51" fillId="7" borderId="0" xfId="0" applyFont="1" applyFill="1" applyAlignment="1">
      <alignment horizontal="left"/>
    </xf>
    <xf numFmtId="0" fontId="51" fillId="7" borderId="0" xfId="0" applyFont="1" applyFill="1" applyAlignment="1">
      <alignment horizontal="left" vertical="center" wrapText="1"/>
    </xf>
    <xf numFmtId="0" fontId="97" fillId="41" borderId="71" xfId="0" applyFont="1" applyFill="1" applyBorder="1" applyAlignment="1">
      <alignment horizontal="center" vertical="center" wrapText="1"/>
    </xf>
    <xf numFmtId="0" fontId="131" fillId="7" borderId="0" xfId="0" applyFont="1" applyFill="1" applyAlignment="1" applyProtection="1">
      <alignment horizontal="left" vertical="center"/>
      <protection locked="0"/>
    </xf>
    <xf numFmtId="0" fontId="131" fillId="7" borderId="0" xfId="0" applyFont="1" applyFill="1" applyAlignment="1" applyProtection="1">
      <alignment horizontal="left" wrapText="1"/>
      <protection locked="0"/>
    </xf>
    <xf numFmtId="0" fontId="131" fillId="7" borderId="0" xfId="0" applyFont="1" applyFill="1" applyAlignment="1" applyProtection="1">
      <alignment horizontal="left" vertical="center" wrapText="1"/>
      <protection locked="0"/>
    </xf>
    <xf numFmtId="0" fontId="131" fillId="7" borderId="0" xfId="0" applyFont="1" applyFill="1" applyAlignment="1">
      <alignment vertical="center" wrapText="1"/>
    </xf>
    <xf numFmtId="0" fontId="51" fillId="7" borderId="52" xfId="0" applyFont="1" applyFill="1" applyBorder="1" applyAlignment="1">
      <alignment vertical="center" wrapText="1"/>
    </xf>
    <xf numFmtId="171" fontId="51" fillId="38" borderId="9" xfId="1" applyNumberFormat="1" applyFont="1" applyFill="1" applyBorder="1" applyAlignment="1" applyProtection="1">
      <alignment horizontal="center" vertical="center" wrapText="1"/>
    </xf>
    <xf numFmtId="1" fontId="57" fillId="0" borderId="0" xfId="0" applyNumberFormat="1" applyFont="1" applyAlignment="1">
      <alignment vertical="center"/>
    </xf>
    <xf numFmtId="1" fontId="54" fillId="0" borderId="14" xfId="0" applyNumberFormat="1" applyFont="1" applyBorder="1" applyAlignment="1">
      <alignment horizontal="center" vertical="center" wrapText="1"/>
    </xf>
    <xf numFmtId="1" fontId="54" fillId="0" borderId="15" xfId="0" applyNumberFormat="1" applyFont="1" applyBorder="1" applyAlignment="1">
      <alignment horizontal="center" vertical="center" wrapText="1"/>
    </xf>
    <xf numFmtId="167" fontId="0" fillId="0" borderId="0" xfId="0" applyNumberFormat="1"/>
    <xf numFmtId="0" fontId="4" fillId="3" borderId="4" xfId="0" applyFont="1" applyFill="1" applyBorder="1" applyAlignment="1">
      <alignment horizontal="left"/>
    </xf>
    <xf numFmtId="0" fontId="3" fillId="2" borderId="0" xfId="0" applyFont="1" applyFill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center"/>
      <protection locked="0"/>
    </xf>
    <xf numFmtId="0" fontId="0" fillId="0" borderId="0" xfId="0" applyAlignment="1">
      <alignment horizontal="center" vertical="center" wrapText="1"/>
    </xf>
    <xf numFmtId="0" fontId="4" fillId="3" borderId="6" xfId="0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0" fontId="4" fillId="0" borderId="4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4" fillId="3" borderId="4" xfId="0" applyFont="1" applyFill="1" applyBorder="1" applyAlignment="1">
      <alignment horizontal="center"/>
    </xf>
    <xf numFmtId="0" fontId="7" fillId="0" borderId="6" xfId="0" applyFont="1" applyBorder="1" applyAlignment="1" applyProtection="1">
      <alignment horizontal="left" wrapText="1"/>
      <protection locked="0"/>
    </xf>
    <xf numFmtId="0" fontId="7" fillId="0" borderId="7" xfId="0" applyFont="1" applyBorder="1" applyAlignment="1" applyProtection="1">
      <alignment horizontal="left" wrapText="1"/>
      <protection locked="0"/>
    </xf>
    <xf numFmtId="0" fontId="4" fillId="3" borderId="6" xfId="0" applyFont="1" applyFill="1" applyBorder="1" applyAlignment="1" applyProtection="1">
      <alignment horizontal="left" vertical="top" wrapText="1"/>
      <protection locked="0"/>
    </xf>
    <xf numFmtId="0" fontId="4" fillId="3" borderId="7" xfId="0" applyFont="1" applyFill="1" applyBorder="1" applyAlignment="1" applyProtection="1">
      <alignment horizontal="left" vertical="top" wrapText="1"/>
      <protection locked="0"/>
    </xf>
    <xf numFmtId="0" fontId="17" fillId="0" borderId="8" xfId="0" applyFont="1" applyBorder="1" applyAlignment="1" applyProtection="1">
      <alignment horizontal="left" wrapText="1"/>
      <protection locked="0"/>
    </xf>
    <xf numFmtId="0" fontId="4" fillId="3" borderId="4" xfId="0" applyFont="1" applyFill="1" applyBorder="1" applyAlignment="1" applyProtection="1">
      <alignment horizontal="center" vertical="top" wrapText="1"/>
      <protection locked="0"/>
    </xf>
    <xf numFmtId="0" fontId="4" fillId="5" borderId="6" xfId="0" applyFont="1" applyFill="1" applyBorder="1" applyAlignment="1" applyProtection="1">
      <alignment horizontal="left" vertical="top" wrapText="1"/>
      <protection locked="0"/>
    </xf>
    <xf numFmtId="0" fontId="4" fillId="5" borderId="13" xfId="0" applyFont="1" applyFill="1" applyBorder="1" applyAlignment="1" applyProtection="1">
      <alignment horizontal="left" vertical="top" wrapText="1"/>
      <protection locked="0"/>
    </xf>
    <xf numFmtId="0" fontId="4" fillId="5" borderId="7" xfId="0" applyFont="1" applyFill="1" applyBorder="1" applyAlignment="1" applyProtection="1">
      <alignment horizontal="left" vertical="top" wrapText="1"/>
      <protection locked="0"/>
    </xf>
    <xf numFmtId="0" fontId="4" fillId="4" borderId="4" xfId="0" applyFont="1" applyFill="1" applyBorder="1" applyAlignment="1">
      <alignment vertical="center" wrapText="1"/>
    </xf>
    <xf numFmtId="0" fontId="4" fillId="4" borderId="9" xfId="0" applyFont="1" applyFill="1" applyBorder="1" applyAlignment="1">
      <alignment horizontal="center" vertical="top" wrapText="1"/>
    </xf>
    <xf numFmtId="0" fontId="4" fillId="4" borderId="10" xfId="0" applyFont="1" applyFill="1" applyBorder="1" applyAlignment="1">
      <alignment horizontal="center" vertical="top" wrapText="1"/>
    </xf>
    <xf numFmtId="0" fontId="4" fillId="4" borderId="11" xfId="0" applyFont="1" applyFill="1" applyBorder="1" applyAlignment="1">
      <alignment horizontal="center" vertical="top" wrapText="1"/>
    </xf>
    <xf numFmtId="0" fontId="4" fillId="4" borderId="12" xfId="0" applyFont="1" applyFill="1" applyBorder="1" applyAlignment="1">
      <alignment horizontal="center" vertical="top" wrapText="1"/>
    </xf>
    <xf numFmtId="0" fontId="4" fillId="4" borderId="4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left" wrapText="1"/>
    </xf>
    <xf numFmtId="0" fontId="4" fillId="4" borderId="4" xfId="0" applyFont="1" applyFill="1" applyBorder="1" applyAlignment="1">
      <alignment horizontal="left" vertical="top" wrapText="1"/>
    </xf>
    <xf numFmtId="0" fontId="20" fillId="0" borderId="0" xfId="0" applyFont="1" applyAlignment="1" applyProtection="1">
      <alignment horizontal="center"/>
      <protection locked="0"/>
    </xf>
    <xf numFmtId="166" fontId="21" fillId="0" borderId="0" xfId="0" applyNumberFormat="1" applyFont="1" applyAlignment="1" applyProtection="1">
      <alignment horizontal="center"/>
      <protection locked="0"/>
    </xf>
    <xf numFmtId="0" fontId="4" fillId="5" borderId="6" xfId="0" applyFont="1" applyFill="1" applyBorder="1" applyAlignment="1" applyProtection="1">
      <alignment horizontal="left" wrapText="1"/>
      <protection locked="0"/>
    </xf>
    <xf numFmtId="0" fontId="4" fillId="5" borderId="13" xfId="0" applyFont="1" applyFill="1" applyBorder="1" applyAlignment="1" applyProtection="1">
      <alignment horizontal="left" wrapText="1"/>
      <protection locked="0"/>
    </xf>
    <xf numFmtId="0" fontId="4" fillId="5" borderId="7" xfId="0" applyFont="1" applyFill="1" applyBorder="1" applyAlignment="1" applyProtection="1">
      <alignment horizontal="left" wrapText="1"/>
      <protection locked="0"/>
    </xf>
    <xf numFmtId="0" fontId="4" fillId="0" borderId="4" xfId="0" applyFont="1" applyBorder="1" applyAlignment="1" applyProtection="1">
      <alignment horizontal="left" vertical="top" wrapText="1"/>
      <protection locked="0"/>
    </xf>
    <xf numFmtId="0" fontId="4" fillId="0" borderId="4" xfId="0" applyFont="1" applyBorder="1" applyAlignment="1" applyProtection="1">
      <alignment horizontal="left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4" fillId="6" borderId="14" xfId="0" applyFont="1" applyFill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top" wrapText="1"/>
      <protection locked="0"/>
    </xf>
    <xf numFmtId="0" fontId="7" fillId="0" borderId="4" xfId="0" applyFont="1" applyBorder="1" applyAlignment="1" applyProtection="1">
      <alignment horizontal="left" vertical="top" wrapText="1"/>
      <protection locked="0"/>
    </xf>
    <xf numFmtId="0" fontId="75" fillId="41" borderId="43" xfId="0" applyFont="1" applyFill="1" applyBorder="1" applyAlignment="1">
      <alignment horizontal="left" vertical="center" wrapText="1" indent="2"/>
    </xf>
    <xf numFmtId="0" fontId="75" fillId="41" borderId="44" xfId="0" applyFont="1" applyFill="1" applyBorder="1" applyAlignment="1">
      <alignment horizontal="left" vertical="center" wrapText="1" indent="2"/>
    </xf>
    <xf numFmtId="0" fontId="75" fillId="41" borderId="24" xfId="0" applyFont="1" applyFill="1" applyBorder="1" applyAlignment="1">
      <alignment horizontal="left" vertical="center" wrapText="1" indent="2"/>
    </xf>
    <xf numFmtId="0" fontId="75" fillId="41" borderId="88" xfId="0" applyFont="1" applyFill="1" applyBorder="1" applyAlignment="1">
      <alignment horizontal="left" vertical="center" wrapText="1" indent="2"/>
    </xf>
    <xf numFmtId="0" fontId="75" fillId="41" borderId="87" xfId="0" applyFont="1" applyFill="1" applyBorder="1" applyAlignment="1">
      <alignment horizontal="left" vertical="center" wrapText="1" indent="2"/>
    </xf>
    <xf numFmtId="0" fontId="75" fillId="41" borderId="89" xfId="0" applyFont="1" applyFill="1" applyBorder="1" applyAlignment="1">
      <alignment horizontal="left" vertical="center" wrapText="1" indent="2"/>
    </xf>
    <xf numFmtId="0" fontId="66" fillId="40" borderId="45" xfId="0" applyFont="1" applyFill="1" applyBorder="1" applyAlignment="1">
      <alignment horizontal="left" vertical="center" wrapText="1" indent="2"/>
    </xf>
    <xf numFmtId="0" fontId="66" fillId="40" borderId="0" xfId="0" applyFont="1" applyFill="1" applyAlignment="1">
      <alignment horizontal="left" vertical="center" wrapText="1" indent="2"/>
    </xf>
    <xf numFmtId="0" fontId="66" fillId="40" borderId="30" xfId="0" applyFont="1" applyFill="1" applyBorder="1" applyAlignment="1">
      <alignment horizontal="left" vertical="center" wrapText="1" indent="2"/>
    </xf>
    <xf numFmtId="0" fontId="75" fillId="40" borderId="45" xfId="0" applyFont="1" applyFill="1" applyBorder="1" applyAlignment="1">
      <alignment horizontal="left" vertical="center" wrapText="1"/>
    </xf>
    <xf numFmtId="0" fontId="75" fillId="40" borderId="0" xfId="0" applyFont="1" applyFill="1" applyAlignment="1">
      <alignment horizontal="left" vertical="center" wrapText="1"/>
    </xf>
    <xf numFmtId="0" fontId="75" fillId="40" borderId="30" xfId="0" applyFont="1" applyFill="1" applyBorder="1" applyAlignment="1">
      <alignment horizontal="left" vertical="center" wrapText="1"/>
    </xf>
    <xf numFmtId="0" fontId="111" fillId="40" borderId="45" xfId="0" applyFont="1" applyFill="1" applyBorder="1" applyAlignment="1">
      <alignment horizontal="center" vertical="center"/>
    </xf>
    <xf numFmtId="0" fontId="111" fillId="40" borderId="0" xfId="0" applyFont="1" applyFill="1" applyAlignment="1">
      <alignment horizontal="center" vertical="center"/>
    </xf>
    <xf numFmtId="0" fontId="111" fillId="40" borderId="30" xfId="0" applyFont="1" applyFill="1" applyBorder="1" applyAlignment="1">
      <alignment horizontal="center" vertical="center"/>
    </xf>
    <xf numFmtId="0" fontId="81" fillId="40" borderId="45" xfId="0" applyFont="1" applyFill="1" applyBorder="1" applyAlignment="1">
      <alignment horizontal="left" vertical="center" wrapText="1" indent="2"/>
    </xf>
    <xf numFmtId="0" fontId="81" fillId="40" borderId="0" xfId="0" applyFont="1" applyFill="1" applyAlignment="1">
      <alignment horizontal="left" vertical="center" wrapText="1" indent="2"/>
    </xf>
    <xf numFmtId="0" fontId="81" fillId="40" borderId="30" xfId="0" applyFont="1" applyFill="1" applyBorder="1" applyAlignment="1">
      <alignment horizontal="left" vertical="center" wrapText="1" indent="2"/>
    </xf>
    <xf numFmtId="0" fontId="126" fillId="40" borderId="45" xfId="0" applyFont="1" applyFill="1" applyBorder="1" applyAlignment="1">
      <alignment horizontal="left" vertical="center" wrapText="1" indent="2"/>
    </xf>
    <xf numFmtId="0" fontId="126" fillId="40" borderId="0" xfId="0" applyFont="1" applyFill="1" applyAlignment="1">
      <alignment horizontal="left" vertical="center" wrapText="1" indent="2"/>
    </xf>
    <xf numFmtId="0" fontId="126" fillId="40" borderId="30" xfId="0" applyFont="1" applyFill="1" applyBorder="1" applyAlignment="1">
      <alignment horizontal="left" vertical="center" wrapText="1" indent="2"/>
    </xf>
    <xf numFmtId="0" fontId="127" fillId="40" borderId="45" xfId="0" applyFont="1" applyFill="1" applyBorder="1" applyAlignment="1">
      <alignment horizontal="left" vertical="center" indent="2"/>
    </xf>
    <xf numFmtId="0" fontId="127" fillId="40" borderId="0" xfId="0" applyFont="1" applyFill="1" applyAlignment="1">
      <alignment horizontal="left" vertical="center" indent="2"/>
    </xf>
    <xf numFmtId="0" fontId="127" fillId="40" borderId="30" xfId="0" applyFont="1" applyFill="1" applyBorder="1" applyAlignment="1">
      <alignment horizontal="left" vertical="center" indent="2"/>
    </xf>
    <xf numFmtId="0" fontId="130" fillId="40" borderId="45" xfId="0" applyFont="1" applyFill="1" applyBorder="1" applyAlignment="1">
      <alignment horizontal="left" vertical="center" indent="2"/>
    </xf>
    <xf numFmtId="0" fontId="130" fillId="40" borderId="0" xfId="0" applyFont="1" applyFill="1" applyAlignment="1">
      <alignment horizontal="left" vertical="center" indent="2"/>
    </xf>
    <xf numFmtId="0" fontId="130" fillId="40" borderId="30" xfId="0" applyFont="1" applyFill="1" applyBorder="1" applyAlignment="1">
      <alignment horizontal="left" vertical="center" indent="2"/>
    </xf>
    <xf numFmtId="0" fontId="51" fillId="38" borderId="6" xfId="0" applyFont="1" applyFill="1" applyBorder="1" applyAlignment="1">
      <alignment horizontal="left" vertical="center" wrapText="1"/>
    </xf>
    <xf numFmtId="0" fontId="51" fillId="38" borderId="13" xfId="0" applyFont="1" applyFill="1" applyBorder="1" applyAlignment="1">
      <alignment horizontal="left" vertical="center" wrapText="1"/>
    </xf>
    <xf numFmtId="0" fontId="51" fillId="38" borderId="7" xfId="0" applyFont="1" applyFill="1" applyBorder="1" applyAlignment="1">
      <alignment horizontal="left" vertical="center" wrapText="1"/>
    </xf>
    <xf numFmtId="0" fontId="51" fillId="12" borderId="0" xfId="0" applyFont="1" applyFill="1" applyAlignment="1" applyProtection="1">
      <alignment horizontal="left" wrapText="1"/>
      <protection locked="0"/>
    </xf>
    <xf numFmtId="0" fontId="51" fillId="12" borderId="0" xfId="0" applyFont="1" applyFill="1" applyAlignment="1" applyProtection="1">
      <alignment horizontal="left" vertical="center" wrapText="1"/>
      <protection locked="0"/>
    </xf>
    <xf numFmtId="0" fontId="51" fillId="12" borderId="51" xfId="0" applyFont="1" applyFill="1" applyBorder="1" applyAlignment="1" applyProtection="1">
      <alignment horizontal="center" vertical="center" wrapText="1"/>
      <protection locked="0"/>
    </xf>
    <xf numFmtId="0" fontId="51" fillId="12" borderId="54" xfId="0" applyFont="1" applyFill="1" applyBorder="1" applyAlignment="1" applyProtection="1">
      <alignment horizontal="center" vertical="center" wrapText="1"/>
      <protection locked="0"/>
    </xf>
    <xf numFmtId="0" fontId="53" fillId="12" borderId="50" xfId="64" applyFont="1" applyFill="1" applyBorder="1" applyAlignment="1" applyProtection="1">
      <alignment horizontal="left" vertical="center" wrapText="1"/>
      <protection locked="0"/>
    </xf>
    <xf numFmtId="0" fontId="53" fillId="12" borderId="53" xfId="64" applyFont="1" applyFill="1" applyBorder="1" applyAlignment="1" applyProtection="1">
      <alignment horizontal="left" vertical="center" wrapText="1"/>
      <protection locked="0"/>
    </xf>
    <xf numFmtId="3" fontId="52" fillId="38" borderId="16" xfId="0" applyNumberFormat="1" applyFont="1" applyFill="1" applyBorder="1" applyAlignment="1">
      <alignment horizontal="center" vertical="center" wrapText="1"/>
    </xf>
    <xf numFmtId="0" fontId="52" fillId="38" borderId="18" xfId="0" applyFont="1" applyFill="1" applyBorder="1" applyAlignment="1">
      <alignment horizontal="center" vertical="center" wrapText="1"/>
    </xf>
    <xf numFmtId="3" fontId="52" fillId="38" borderId="9" xfId="0" applyNumberFormat="1" applyFont="1" applyFill="1" applyBorder="1" applyAlignment="1">
      <alignment horizontal="center" vertical="center" wrapText="1"/>
    </xf>
    <xf numFmtId="0" fontId="52" fillId="38" borderId="11" xfId="0" applyFont="1" applyFill="1" applyBorder="1" applyAlignment="1">
      <alignment horizontal="center" vertical="center" wrapText="1"/>
    </xf>
    <xf numFmtId="164" fontId="52" fillId="38" borderId="16" xfId="1" applyFont="1" applyFill="1" applyBorder="1" applyAlignment="1" applyProtection="1">
      <alignment horizontal="center" vertical="center"/>
    </xf>
    <xf numFmtId="164" fontId="52" fillId="38" borderId="19" xfId="1" applyFont="1" applyFill="1" applyBorder="1" applyAlignment="1" applyProtection="1">
      <alignment horizontal="center" vertical="center"/>
    </xf>
    <xf numFmtId="164" fontId="52" fillId="38" borderId="18" xfId="1" applyFont="1" applyFill="1" applyBorder="1" applyAlignment="1" applyProtection="1">
      <alignment horizontal="center" vertical="center"/>
    </xf>
    <xf numFmtId="164" fontId="52" fillId="10" borderId="67" xfId="1" applyFont="1" applyFill="1" applyBorder="1" applyAlignment="1" applyProtection="1">
      <alignment horizontal="center" vertical="center"/>
    </xf>
    <xf numFmtId="164" fontId="52" fillId="10" borderId="92" xfId="1" applyFont="1" applyFill="1" applyBorder="1" applyAlignment="1" applyProtection="1">
      <alignment horizontal="center" vertical="center"/>
    </xf>
    <xf numFmtId="164" fontId="52" fillId="10" borderId="47" xfId="1" applyFont="1" applyFill="1" applyBorder="1" applyAlignment="1" applyProtection="1">
      <alignment horizontal="center" vertical="center"/>
    </xf>
    <xf numFmtId="0" fontId="51" fillId="12" borderId="50" xfId="0" applyFont="1" applyFill="1" applyBorder="1" applyAlignment="1" applyProtection="1">
      <alignment horizontal="left" vertical="center" wrapText="1"/>
      <protection locked="0"/>
    </xf>
    <xf numFmtId="0" fontId="51" fillId="12" borderId="45" xfId="0" applyFont="1" applyFill="1" applyBorder="1" applyAlignment="1" applyProtection="1">
      <alignment horizontal="center" wrapText="1"/>
      <protection locked="0"/>
    </xf>
    <xf numFmtId="0" fontId="51" fillId="12" borderId="0" xfId="0" applyFont="1" applyFill="1" applyAlignment="1" applyProtection="1">
      <alignment horizontal="center" wrapText="1"/>
      <protection locked="0"/>
    </xf>
    <xf numFmtId="0" fontId="51" fillId="12" borderId="30" xfId="0" applyFont="1" applyFill="1" applyBorder="1" applyAlignment="1" applyProtection="1">
      <alignment horizontal="center" wrapText="1"/>
      <protection locked="0"/>
    </xf>
    <xf numFmtId="0" fontId="52" fillId="10" borderId="48" xfId="0" applyFont="1" applyFill="1" applyBorder="1" applyAlignment="1">
      <alignment horizontal="right" vertical="center" indent="1"/>
    </xf>
    <xf numFmtId="0" fontId="52" fillId="10" borderId="4" xfId="0" applyFont="1" applyFill="1" applyBorder="1" applyAlignment="1">
      <alignment horizontal="right" vertical="center" indent="1"/>
    </xf>
    <xf numFmtId="0" fontId="52" fillId="10" borderId="6" xfId="0" applyFont="1" applyFill="1" applyBorder="1" applyAlignment="1">
      <alignment horizontal="right" vertical="center" indent="1"/>
    </xf>
    <xf numFmtId="164" fontId="52" fillId="10" borderId="7" xfId="1" applyFont="1" applyFill="1" applyBorder="1" applyAlignment="1">
      <alignment horizontal="center" vertical="center"/>
    </xf>
    <xf numFmtId="164" fontId="52" fillId="10" borderId="49" xfId="1" applyFont="1" applyFill="1" applyBorder="1" applyAlignment="1">
      <alignment horizontal="center" vertical="center"/>
    </xf>
    <xf numFmtId="0" fontId="51" fillId="7" borderId="45" xfId="0" applyFont="1" applyFill="1" applyBorder="1" applyAlignment="1">
      <alignment horizontal="left" vertical="top" wrapText="1"/>
    </xf>
    <xf numFmtId="0" fontId="51" fillId="7" borderId="0" xfId="0" applyFont="1" applyFill="1" applyAlignment="1">
      <alignment horizontal="left" vertical="top" wrapText="1"/>
    </xf>
    <xf numFmtId="0" fontId="51" fillId="7" borderId="30" xfId="0" applyFont="1" applyFill="1" applyBorder="1" applyAlignment="1">
      <alignment horizontal="left" vertical="top" wrapText="1"/>
    </xf>
    <xf numFmtId="0" fontId="52" fillId="7" borderId="45" xfId="0" applyFont="1" applyFill="1" applyBorder="1" applyAlignment="1">
      <alignment horizontal="left" vertical="top" wrapText="1"/>
    </xf>
    <xf numFmtId="0" fontId="52" fillId="7" borderId="0" xfId="0" applyFont="1" applyFill="1" applyAlignment="1">
      <alignment horizontal="left" vertical="top" wrapText="1"/>
    </xf>
    <xf numFmtId="0" fontId="51" fillId="12" borderId="0" xfId="0" applyFont="1" applyFill="1" applyAlignment="1" applyProtection="1">
      <alignment horizontal="center"/>
      <protection locked="0"/>
    </xf>
    <xf numFmtId="0" fontId="51" fillId="12" borderId="30" xfId="0" applyFont="1" applyFill="1" applyBorder="1" applyAlignment="1" applyProtection="1">
      <alignment horizontal="center"/>
      <protection locked="0"/>
    </xf>
    <xf numFmtId="0" fontId="51" fillId="7" borderId="45" xfId="0" applyFont="1" applyFill="1" applyBorder="1" applyAlignment="1">
      <alignment horizontal="left"/>
    </xf>
    <xf numFmtId="0" fontId="51" fillId="7" borderId="0" xfId="0" applyFont="1" applyFill="1" applyAlignment="1">
      <alignment horizontal="left"/>
    </xf>
    <xf numFmtId="0" fontId="51" fillId="7" borderId="30" xfId="0" applyFont="1" applyFill="1" applyBorder="1" applyAlignment="1">
      <alignment horizontal="left"/>
    </xf>
    <xf numFmtId="0" fontId="51" fillId="38" borderId="16" xfId="0" applyFont="1" applyFill="1" applyBorder="1" applyAlignment="1">
      <alignment horizontal="center" vertical="center" wrapText="1"/>
    </xf>
    <xf numFmtId="0" fontId="51" fillId="38" borderId="18" xfId="0" applyFont="1" applyFill="1" applyBorder="1" applyAlignment="1">
      <alignment horizontal="center" vertical="center" wrapText="1"/>
    </xf>
    <xf numFmtId="0" fontId="52" fillId="7" borderId="43" xfId="0" applyFont="1" applyFill="1" applyBorder="1" applyAlignment="1">
      <alignment horizontal="center" vertical="center" wrapText="1"/>
    </xf>
    <xf numFmtId="0" fontId="52" fillId="7" borderId="44" xfId="0" applyFont="1" applyFill="1" applyBorder="1" applyAlignment="1">
      <alignment horizontal="center" vertical="center" wrapText="1"/>
    </xf>
    <xf numFmtId="0" fontId="52" fillId="7" borderId="24" xfId="0" applyFont="1" applyFill="1" applyBorder="1" applyAlignment="1">
      <alignment horizontal="center" vertical="center" wrapText="1"/>
    </xf>
    <xf numFmtId="0" fontId="51" fillId="12" borderId="50" xfId="0" applyFont="1" applyFill="1" applyBorder="1" applyAlignment="1" applyProtection="1">
      <alignment horizontal="left" vertical="center"/>
      <protection locked="0"/>
    </xf>
    <xf numFmtId="0" fontId="97" fillId="41" borderId="13" xfId="0" applyFont="1" applyFill="1" applyBorder="1" applyAlignment="1">
      <alignment horizontal="center" vertical="center" wrapText="1"/>
    </xf>
    <xf numFmtId="0" fontId="51" fillId="12" borderId="50" xfId="0" applyFont="1" applyFill="1" applyBorder="1" applyAlignment="1" applyProtection="1">
      <alignment horizontal="center" vertical="center" wrapText="1"/>
      <protection locked="0"/>
    </xf>
    <xf numFmtId="0" fontId="51" fillId="12" borderId="51" xfId="0" applyFont="1" applyFill="1" applyBorder="1" applyAlignment="1" applyProtection="1">
      <alignment horizontal="left" vertical="center" wrapText="1"/>
      <protection locked="0"/>
    </xf>
    <xf numFmtId="0" fontId="51" fillId="0" borderId="46" xfId="0" applyFont="1" applyBorder="1" applyAlignment="1">
      <alignment horizontal="left" vertical="center" wrapText="1"/>
    </xf>
    <xf numFmtId="0" fontId="51" fillId="0" borderId="18" xfId="0" applyFont="1" applyBorder="1" applyAlignment="1">
      <alignment horizontal="left" vertical="center" wrapText="1"/>
    </xf>
    <xf numFmtId="0" fontId="51" fillId="0" borderId="47" xfId="0" applyFont="1" applyBorder="1" applyAlignment="1">
      <alignment horizontal="left" vertical="center" wrapText="1"/>
    </xf>
    <xf numFmtId="0" fontId="51" fillId="0" borderId="48" xfId="0" applyFont="1" applyBorder="1" applyAlignment="1">
      <alignment horizontal="left" vertical="center" wrapText="1"/>
    </xf>
    <xf numFmtId="0" fontId="51" fillId="0" borderId="4" xfId="0" applyFont="1" applyBorder="1" applyAlignment="1">
      <alignment horizontal="left" vertical="center" wrapText="1"/>
    </xf>
    <xf numFmtId="0" fontId="51" fillId="0" borderId="49" xfId="0" applyFont="1" applyBorder="1" applyAlignment="1">
      <alignment horizontal="left" vertical="center" wrapText="1"/>
    </xf>
    <xf numFmtId="0" fontId="51" fillId="7" borderId="45" xfId="0" applyFont="1" applyFill="1" applyBorder="1" applyAlignment="1">
      <alignment horizontal="left" vertical="center" wrapText="1"/>
    </xf>
    <xf numFmtId="164" fontId="97" fillId="41" borderId="93" xfId="1" applyFont="1" applyFill="1" applyBorder="1" applyAlignment="1">
      <alignment horizontal="center" vertical="center" wrapText="1"/>
    </xf>
    <xf numFmtId="164" fontId="97" fillId="41" borderId="94" xfId="1" applyFont="1" applyFill="1" applyBorder="1" applyAlignment="1">
      <alignment horizontal="center" vertical="center" wrapText="1"/>
    </xf>
    <xf numFmtId="164" fontId="97" fillId="41" borderId="46" xfId="1" applyFont="1" applyFill="1" applyBorder="1" applyAlignment="1">
      <alignment horizontal="center" vertical="center" wrapText="1"/>
    </xf>
    <xf numFmtId="0" fontId="51" fillId="38" borderId="9" xfId="0" applyFont="1" applyFill="1" applyBorder="1" applyAlignment="1">
      <alignment horizontal="center" vertical="center" wrapText="1"/>
    </xf>
    <xf numFmtId="0" fontId="51" fillId="38" borderId="11" xfId="0" applyFont="1" applyFill="1" applyBorder="1" applyAlignment="1">
      <alignment horizontal="center" vertical="center" wrapText="1"/>
    </xf>
    <xf numFmtId="0" fontId="51" fillId="49" borderId="9" xfId="0" applyFont="1" applyFill="1" applyBorder="1" applyAlignment="1">
      <alignment horizontal="left" vertical="center" wrapText="1"/>
    </xf>
    <xf numFmtId="0" fontId="51" fillId="49" borderId="8" xfId="0" applyFont="1" applyFill="1" applyBorder="1" applyAlignment="1">
      <alignment horizontal="left" vertical="center" wrapText="1"/>
    </xf>
    <xf numFmtId="0" fontId="51" fillId="49" borderId="10" xfId="0" applyFont="1" applyFill="1" applyBorder="1" applyAlignment="1">
      <alignment horizontal="left" vertical="center" wrapText="1"/>
    </xf>
    <xf numFmtId="0" fontId="51" fillId="49" borderId="41" xfId="0" applyFont="1" applyFill="1" applyBorder="1" applyAlignment="1">
      <alignment horizontal="left" vertical="center" wrapText="1"/>
    </xf>
    <xf numFmtId="0" fontId="51" fillId="49" borderId="0" xfId="0" applyFont="1" applyFill="1" applyAlignment="1">
      <alignment horizontal="left" vertical="center" wrapText="1"/>
    </xf>
    <xf numFmtId="0" fontId="51" fillId="49" borderId="42" xfId="0" applyFont="1" applyFill="1" applyBorder="1" applyAlignment="1">
      <alignment horizontal="left" vertical="center" wrapText="1"/>
    </xf>
    <xf numFmtId="0" fontId="51" fillId="49" borderId="11" xfId="0" applyFont="1" applyFill="1" applyBorder="1" applyAlignment="1">
      <alignment horizontal="left" vertical="center" wrapText="1"/>
    </xf>
    <xf numFmtId="0" fontId="51" fillId="49" borderId="5" xfId="0" applyFont="1" applyFill="1" applyBorder="1" applyAlignment="1">
      <alignment horizontal="left" vertical="center" wrapText="1"/>
    </xf>
    <xf numFmtId="0" fontId="51" fillId="49" borderId="12" xfId="0" applyFont="1" applyFill="1" applyBorder="1" applyAlignment="1">
      <alignment horizontal="left" vertical="center" wrapText="1"/>
    </xf>
    <xf numFmtId="0" fontId="51" fillId="0" borderId="9" xfId="0" applyFont="1" applyBorder="1" applyAlignment="1">
      <alignment horizontal="left" vertical="center" wrapText="1" indent="1"/>
    </xf>
    <xf numFmtId="0" fontId="51" fillId="0" borderId="11" xfId="0" applyFont="1" applyBorder="1" applyAlignment="1">
      <alignment horizontal="left" vertical="center" wrapText="1" indent="1"/>
    </xf>
    <xf numFmtId="1" fontId="54" fillId="0" borderId="90" xfId="0" applyNumberFormat="1" applyFont="1" applyBorder="1" applyAlignment="1">
      <alignment horizontal="center" vertical="center" wrapText="1"/>
    </xf>
    <xf numFmtId="1" fontId="54" fillId="0" borderId="91" xfId="0" applyNumberFormat="1" applyFont="1" applyBorder="1" applyAlignment="1">
      <alignment horizontal="center" vertical="center" wrapText="1"/>
    </xf>
    <xf numFmtId="1" fontId="107" fillId="8" borderId="14" xfId="65" applyNumberFormat="1" applyFont="1" applyFill="1" applyBorder="1" applyAlignment="1">
      <alignment horizontal="center" vertical="center" wrapText="1"/>
    </xf>
    <xf numFmtId="1" fontId="107" fillId="8" borderId="15" xfId="65" applyNumberFormat="1" applyFont="1" applyFill="1" applyBorder="1" applyAlignment="1">
      <alignment horizontal="center" vertical="center" wrapText="1"/>
    </xf>
    <xf numFmtId="0" fontId="54" fillId="0" borderId="24" xfId="0" applyFont="1" applyBorder="1" applyAlignment="1">
      <alignment horizontal="center" vertical="center" wrapText="1"/>
    </xf>
    <xf numFmtId="0" fontId="54" fillId="0" borderId="27" xfId="0" applyFont="1" applyBorder="1" applyAlignment="1">
      <alignment horizontal="center" vertical="center" wrapText="1"/>
    </xf>
    <xf numFmtId="0" fontId="51" fillId="0" borderId="9" xfId="0" applyFont="1" applyBorder="1" applyAlignment="1">
      <alignment horizontal="center" vertical="center" wrapText="1"/>
    </xf>
    <xf numFmtId="0" fontId="51" fillId="0" borderId="11" xfId="0" applyFont="1" applyBorder="1" applyAlignment="1">
      <alignment horizontal="center" vertical="center" wrapText="1"/>
    </xf>
    <xf numFmtId="2" fontId="54" fillId="0" borderId="42" xfId="65" applyNumberFormat="1" applyFont="1" applyBorder="1" applyAlignment="1">
      <alignment horizontal="center" vertical="center" wrapText="1"/>
    </xf>
    <xf numFmtId="2" fontId="54" fillId="0" borderId="12" xfId="65" applyNumberFormat="1" applyFont="1" applyBorder="1" applyAlignment="1">
      <alignment horizontal="center" vertical="center" wrapText="1"/>
    </xf>
    <xf numFmtId="0" fontId="55" fillId="0" borderId="0" xfId="0" applyFont="1" applyAlignment="1">
      <alignment horizontal="left" vertical="center" wrapText="1" indent="14"/>
    </xf>
    <xf numFmtId="0" fontId="58" fillId="41" borderId="0" xfId="0" applyFont="1" applyFill="1" applyAlignment="1">
      <alignment horizontal="center" vertical="center"/>
    </xf>
    <xf numFmtId="164" fontId="57" fillId="38" borderId="0" xfId="1" applyFont="1" applyFill="1" applyAlignment="1">
      <alignment horizontal="left" wrapText="1"/>
    </xf>
    <xf numFmtId="164" fontId="60" fillId="38" borderId="0" xfId="1" applyFont="1" applyFill="1" applyAlignment="1">
      <alignment horizontal="left" wrapText="1"/>
    </xf>
    <xf numFmtId="1" fontId="109" fillId="41" borderId="16" xfId="65" applyNumberFormat="1" applyFont="1" applyFill="1" applyBorder="1" applyAlignment="1">
      <alignment horizontal="center" vertical="center" wrapText="1"/>
    </xf>
    <xf numFmtId="1" fontId="109" fillId="41" borderId="19" xfId="65" applyNumberFormat="1" applyFont="1" applyFill="1" applyBorder="1" applyAlignment="1">
      <alignment horizontal="center" vertical="center" wrapText="1"/>
    </xf>
    <xf numFmtId="1" fontId="109" fillId="41" borderId="12" xfId="65" applyNumberFormat="1" applyFont="1" applyFill="1" applyBorder="1" applyAlignment="1">
      <alignment horizontal="center" vertical="center" wrapText="1"/>
    </xf>
    <xf numFmtId="0" fontId="97" fillId="41" borderId="6" xfId="0" applyFont="1" applyFill="1" applyBorder="1" applyAlignment="1">
      <alignment horizontal="right" vertical="center" wrapText="1"/>
    </xf>
    <xf numFmtId="0" fontId="97" fillId="41" borderId="5" xfId="0" applyFont="1" applyFill="1" applyBorder="1" applyAlignment="1">
      <alignment horizontal="right" vertical="center" wrapText="1"/>
    </xf>
    <xf numFmtId="0" fontId="97" fillId="41" borderId="13" xfId="0" applyFont="1" applyFill="1" applyBorder="1" applyAlignment="1">
      <alignment horizontal="right" vertical="center" wrapText="1"/>
    </xf>
    <xf numFmtId="0" fontId="108" fillId="41" borderId="16" xfId="0" applyFont="1" applyFill="1" applyBorder="1" applyAlignment="1">
      <alignment horizontal="left" vertical="center"/>
    </xf>
    <xf numFmtId="0" fontId="108" fillId="41" borderId="4" xfId="0" applyFont="1" applyFill="1" applyBorder="1" applyAlignment="1">
      <alignment horizontal="left" vertical="center"/>
    </xf>
    <xf numFmtId="0" fontId="57" fillId="10" borderId="16" xfId="0" applyFont="1" applyFill="1" applyBorder="1" applyAlignment="1">
      <alignment horizontal="center" vertical="center" wrapText="1"/>
    </xf>
    <xf numFmtId="0" fontId="57" fillId="10" borderId="19" xfId="0" applyFont="1" applyFill="1" applyBorder="1" applyAlignment="1">
      <alignment horizontal="center" vertical="center" wrapText="1"/>
    </xf>
    <xf numFmtId="0" fontId="57" fillId="10" borderId="18" xfId="0" applyFont="1" applyFill="1" applyBorder="1" applyAlignment="1">
      <alignment horizontal="center" vertical="center" wrapText="1"/>
    </xf>
    <xf numFmtId="0" fontId="60" fillId="10" borderId="4" xfId="0" applyFont="1" applyFill="1" applyBorder="1" applyAlignment="1">
      <alignment horizontal="center" vertical="center" wrapText="1"/>
    </xf>
    <xf numFmtId="0" fontId="60" fillId="10" borderId="16" xfId="0" applyFont="1" applyFill="1" applyBorder="1" applyAlignment="1">
      <alignment horizontal="center" vertical="center" wrapText="1"/>
    </xf>
    <xf numFmtId="0" fontId="60" fillId="10" borderId="19" xfId="0" applyFont="1" applyFill="1" applyBorder="1" applyAlignment="1">
      <alignment horizontal="center" vertical="center" wrapText="1"/>
    </xf>
    <xf numFmtId="0" fontId="60" fillId="10" borderId="18" xfId="0" applyFont="1" applyFill="1" applyBorder="1" applyAlignment="1">
      <alignment horizontal="center" vertical="center" wrapText="1"/>
    </xf>
    <xf numFmtId="0" fontId="54" fillId="0" borderId="28" xfId="0" applyFont="1" applyBorder="1" applyAlignment="1">
      <alignment horizontal="center" vertical="top" wrapText="1"/>
    </xf>
    <xf numFmtId="0" fontId="54" fillId="0" borderId="31" xfId="0" applyFont="1" applyBorder="1" applyAlignment="1">
      <alignment horizontal="center" vertical="top" wrapText="1"/>
    </xf>
    <xf numFmtId="167" fontId="112" fillId="0" borderId="28" xfId="0" applyNumberFormat="1" applyFont="1" applyBorder="1" applyAlignment="1">
      <alignment horizontal="center" vertical="center" wrapText="1"/>
    </xf>
    <xf numFmtId="167" fontId="112" fillId="0" borderId="31" xfId="0" applyNumberFormat="1" applyFont="1" applyBorder="1" applyAlignment="1">
      <alignment horizontal="center" vertical="center" wrapText="1"/>
    </xf>
    <xf numFmtId="167" fontId="54" fillId="0" borderId="28" xfId="0" applyNumberFormat="1" applyFont="1" applyBorder="1" applyAlignment="1">
      <alignment horizontal="center" vertical="center" wrapText="1"/>
    </xf>
    <xf numFmtId="167" fontId="54" fillId="0" borderId="31" xfId="0" applyNumberFormat="1" applyFont="1" applyBorder="1" applyAlignment="1">
      <alignment horizontal="center" vertical="center" wrapText="1"/>
    </xf>
    <xf numFmtId="0" fontId="54" fillId="9" borderId="28" xfId="0" applyFont="1" applyFill="1" applyBorder="1" applyAlignment="1">
      <alignment horizontal="center" vertical="center" wrapText="1"/>
    </xf>
    <xf numFmtId="0" fontId="54" fillId="9" borderId="29" xfId="0" applyFont="1" applyFill="1" applyBorder="1" applyAlignment="1">
      <alignment horizontal="center" vertical="center" wrapText="1"/>
    </xf>
    <xf numFmtId="0" fontId="54" fillId="9" borderId="31" xfId="0" applyFont="1" applyFill="1" applyBorder="1" applyAlignment="1">
      <alignment horizontal="center" vertical="center" wrapText="1"/>
    </xf>
    <xf numFmtId="0" fontId="105" fillId="41" borderId="21" xfId="0" applyFont="1" applyFill="1" applyBorder="1" applyAlignment="1">
      <alignment horizontal="center"/>
    </xf>
    <xf numFmtId="0" fontId="105" fillId="41" borderId="22" xfId="0" applyFont="1" applyFill="1" applyBorder="1" applyAlignment="1">
      <alignment horizontal="center"/>
    </xf>
    <xf numFmtId="0" fontId="105" fillId="41" borderId="23" xfId="0" applyFont="1" applyFill="1" applyBorder="1" applyAlignment="1">
      <alignment horizontal="center"/>
    </xf>
    <xf numFmtId="0" fontId="60" fillId="38" borderId="0" xfId="0" applyFont="1" applyFill="1" applyAlignment="1">
      <alignment horizontal="left" wrapText="1"/>
    </xf>
    <xf numFmtId="0" fontId="55" fillId="0" borderId="0" xfId="0" applyFont="1" applyAlignment="1">
      <alignment horizontal="left" vertical="center" wrapText="1" indent="16"/>
    </xf>
    <xf numFmtId="0" fontId="56" fillId="0" borderId="4" xfId="0" applyFont="1" applyBorder="1" applyAlignment="1">
      <alignment horizontal="left" vertical="center"/>
    </xf>
    <xf numFmtId="0" fontId="58" fillId="41" borderId="43" xfId="0" applyFont="1" applyFill="1" applyBorder="1" applyAlignment="1">
      <alignment horizontal="center" vertical="center"/>
    </xf>
    <xf numFmtId="0" fontId="58" fillId="41" borderId="44" xfId="0" applyFont="1" applyFill="1" applyBorder="1" applyAlignment="1">
      <alignment horizontal="center" vertical="center"/>
    </xf>
    <xf numFmtId="0" fontId="58" fillId="41" borderId="24" xfId="0" applyFont="1" applyFill="1" applyBorder="1" applyAlignment="1">
      <alignment horizontal="center" vertical="center"/>
    </xf>
    <xf numFmtId="0" fontId="68" fillId="37" borderId="43" xfId="0" applyFont="1" applyFill="1" applyBorder="1" applyAlignment="1">
      <alignment horizontal="center" vertical="center"/>
    </xf>
    <xf numFmtId="0" fontId="68" fillId="37" borderId="44" xfId="0" applyFont="1" applyFill="1" applyBorder="1" applyAlignment="1">
      <alignment horizontal="center" vertical="center"/>
    </xf>
    <xf numFmtId="0" fontId="68" fillId="37" borderId="24" xfId="0" applyFont="1" applyFill="1" applyBorder="1" applyAlignment="1">
      <alignment horizontal="center" vertical="center"/>
    </xf>
    <xf numFmtId="0" fontId="55" fillId="38" borderId="45" xfId="0" applyFont="1" applyFill="1" applyBorder="1" applyAlignment="1">
      <alignment horizontal="left" vertical="center" wrapText="1"/>
    </xf>
    <xf numFmtId="0" fontId="55" fillId="38" borderId="0" xfId="0" applyFont="1" applyFill="1" applyAlignment="1">
      <alignment horizontal="left" vertical="center" wrapText="1"/>
    </xf>
    <xf numFmtId="0" fontId="55" fillId="38" borderId="30" xfId="0" applyFont="1" applyFill="1" applyBorder="1" applyAlignment="1">
      <alignment horizontal="left" vertical="center" wrapText="1"/>
    </xf>
    <xf numFmtId="0" fontId="72" fillId="43" borderId="45" xfId="0" applyFont="1" applyFill="1" applyBorder="1" applyAlignment="1">
      <alignment horizontal="justify" vertical="center" wrapText="1"/>
    </xf>
    <xf numFmtId="0" fontId="72" fillId="43" borderId="0" xfId="0" applyFont="1" applyFill="1" applyAlignment="1">
      <alignment horizontal="justify" vertical="center" wrapText="1"/>
    </xf>
    <xf numFmtId="0" fontId="72" fillId="43" borderId="30" xfId="0" applyFont="1" applyFill="1" applyBorder="1" applyAlignment="1">
      <alignment horizontal="justify" vertical="center" wrapText="1"/>
    </xf>
    <xf numFmtId="0" fontId="72" fillId="43" borderId="25" xfId="0" applyFont="1" applyFill="1" applyBorder="1" applyAlignment="1">
      <alignment horizontal="justify" vertical="center" wrapText="1"/>
    </xf>
    <xf numFmtId="0" fontId="72" fillId="43" borderId="26" xfId="0" applyFont="1" applyFill="1" applyBorder="1" applyAlignment="1">
      <alignment horizontal="justify" vertical="center" wrapText="1"/>
    </xf>
    <xf numFmtId="0" fontId="72" fillId="43" borderId="27" xfId="0" applyFont="1" applyFill="1" applyBorder="1" applyAlignment="1">
      <alignment horizontal="justify" vertical="center" wrapText="1"/>
    </xf>
    <xf numFmtId="0" fontId="75" fillId="41" borderId="68" xfId="0" applyFont="1" applyFill="1" applyBorder="1" applyAlignment="1">
      <alignment horizontal="center" vertical="center" wrapText="1"/>
    </xf>
    <xf numFmtId="0" fontId="75" fillId="41" borderId="13" xfId="0" applyFont="1" applyFill="1" applyBorder="1" applyAlignment="1">
      <alignment horizontal="center" vertical="center"/>
    </xf>
    <xf numFmtId="0" fontId="75" fillId="41" borderId="71" xfId="0" applyFont="1" applyFill="1" applyBorder="1" applyAlignment="1">
      <alignment horizontal="center" vertical="center"/>
    </xf>
    <xf numFmtId="0" fontId="56" fillId="0" borderId="6" xfId="0" applyFont="1" applyBorder="1" applyAlignment="1">
      <alignment horizontal="left" vertical="center"/>
    </xf>
    <xf numFmtId="0" fontId="56" fillId="0" borderId="7" xfId="0" applyFont="1" applyBorder="1" applyAlignment="1">
      <alignment horizontal="left" vertical="center"/>
    </xf>
    <xf numFmtId="0" fontId="81" fillId="8" borderId="58" xfId="0" applyFont="1" applyFill="1" applyBorder="1" applyAlignment="1">
      <alignment horizontal="right" vertical="center"/>
    </xf>
    <xf numFmtId="0" fontId="81" fillId="8" borderId="17" xfId="0" applyFont="1" applyFill="1" applyBorder="1" applyAlignment="1">
      <alignment horizontal="right" vertical="center"/>
    </xf>
    <xf numFmtId="0" fontId="56" fillId="44" borderId="4" xfId="0" applyFont="1" applyFill="1" applyBorder="1" applyAlignment="1">
      <alignment horizontal="left" vertical="center"/>
    </xf>
    <xf numFmtId="0" fontId="56" fillId="44" borderId="6" xfId="0" applyFont="1" applyFill="1" applyBorder="1" applyAlignment="1">
      <alignment horizontal="left" vertical="center"/>
    </xf>
    <xf numFmtId="0" fontId="56" fillId="0" borderId="15" xfId="0" applyFont="1" applyBorder="1" applyAlignment="1">
      <alignment horizontal="left" vertical="center"/>
    </xf>
    <xf numFmtId="0" fontId="56" fillId="7" borderId="0" xfId="0" applyFont="1" applyFill="1" applyAlignment="1">
      <alignment horizontal="center" vertical="center"/>
    </xf>
    <xf numFmtId="0" fontId="56" fillId="45" borderId="0" xfId="0" applyFont="1" applyFill="1" applyAlignment="1">
      <alignment horizontal="center" vertical="center"/>
    </xf>
    <xf numFmtId="0" fontId="67" fillId="36" borderId="43" xfId="0" applyFont="1" applyFill="1" applyBorder="1" applyAlignment="1">
      <alignment horizontal="center" vertical="center"/>
    </xf>
    <xf numFmtId="0" fontId="67" fillId="36" borderId="44" xfId="0" applyFont="1" applyFill="1" applyBorder="1" applyAlignment="1">
      <alignment horizontal="center" vertical="center"/>
    </xf>
    <xf numFmtId="0" fontId="67" fillId="36" borderId="24" xfId="0" applyFont="1" applyFill="1" applyBorder="1" applyAlignment="1">
      <alignment horizontal="center" vertical="center"/>
    </xf>
    <xf numFmtId="0" fontId="78" fillId="8" borderId="25" xfId="0" applyFont="1" applyFill="1" applyBorder="1" applyAlignment="1">
      <alignment horizontal="center" vertical="center"/>
    </xf>
    <xf numFmtId="0" fontId="78" fillId="8" borderId="26" xfId="0" applyFont="1" applyFill="1" applyBorder="1" applyAlignment="1">
      <alignment horizontal="center" vertical="center"/>
    </xf>
    <xf numFmtId="0" fontId="78" fillId="8" borderId="27" xfId="0" applyFont="1" applyFill="1" applyBorder="1" applyAlignment="1">
      <alignment horizontal="center" vertical="center"/>
    </xf>
    <xf numFmtId="0" fontId="79" fillId="40" borderId="43" xfId="0" applyFont="1" applyFill="1" applyBorder="1" applyAlignment="1">
      <alignment horizontal="center" vertical="center"/>
    </xf>
    <xf numFmtId="0" fontId="79" fillId="40" borderId="44" xfId="0" applyFont="1" applyFill="1" applyBorder="1" applyAlignment="1">
      <alignment horizontal="center" vertical="center"/>
    </xf>
    <xf numFmtId="0" fontId="79" fillId="40" borderId="24" xfId="0" applyFont="1" applyFill="1" applyBorder="1" applyAlignment="1">
      <alignment horizontal="center" vertical="center"/>
    </xf>
    <xf numFmtId="0" fontId="79" fillId="36" borderId="21" xfId="0" applyFont="1" applyFill="1" applyBorder="1" applyAlignment="1">
      <alignment horizontal="center" vertical="center" wrapText="1"/>
    </xf>
    <xf numFmtId="0" fontId="79" fillId="36" borderId="22" xfId="0" applyFont="1" applyFill="1" applyBorder="1" applyAlignment="1">
      <alignment horizontal="center" vertical="center" wrapText="1"/>
    </xf>
    <xf numFmtId="0" fontId="79" fillId="36" borderId="23" xfId="0" applyFont="1" applyFill="1" applyBorder="1" applyAlignment="1">
      <alignment horizontal="center" vertical="center" wrapText="1"/>
    </xf>
    <xf numFmtId="0" fontId="80" fillId="0" borderId="45" xfId="0" applyFont="1" applyBorder="1" applyAlignment="1">
      <alignment horizontal="left" vertical="top" wrapText="1"/>
    </xf>
    <xf numFmtId="0" fontId="80" fillId="0" borderId="0" xfId="0" applyFont="1" applyAlignment="1">
      <alignment horizontal="left" vertical="top" wrapText="1"/>
    </xf>
    <xf numFmtId="0" fontId="79" fillId="40" borderId="21" xfId="0" applyFont="1" applyFill="1" applyBorder="1" applyAlignment="1">
      <alignment horizontal="center" vertical="center"/>
    </xf>
    <xf numFmtId="0" fontId="79" fillId="40" borderId="22" xfId="0" applyFont="1" applyFill="1" applyBorder="1" applyAlignment="1">
      <alignment horizontal="center" vertical="center"/>
    </xf>
    <xf numFmtId="0" fontId="79" fillId="40" borderId="23" xfId="0" applyFont="1" applyFill="1" applyBorder="1" applyAlignment="1">
      <alignment horizontal="center" vertical="center"/>
    </xf>
    <xf numFmtId="0" fontId="55" fillId="8" borderId="60" xfId="0" applyFont="1" applyFill="1" applyBorder="1" applyAlignment="1">
      <alignment horizontal="center" vertical="center"/>
    </xf>
    <xf numFmtId="0" fontId="55" fillId="8" borderId="61" xfId="0" applyFont="1" applyFill="1" applyBorder="1" applyAlignment="1">
      <alignment horizontal="center" vertical="center"/>
    </xf>
    <xf numFmtId="0" fontId="55" fillId="8" borderId="62" xfId="0" applyFont="1" applyFill="1" applyBorder="1" applyAlignment="1">
      <alignment horizontal="center" vertical="center"/>
    </xf>
    <xf numFmtId="0" fontId="56" fillId="0" borderId="45" xfId="0" applyFont="1" applyBorder="1" applyAlignment="1">
      <alignment horizontal="left" vertical="center"/>
    </xf>
    <xf numFmtId="0" fontId="56" fillId="0" borderId="0" xfId="0" applyFont="1" applyAlignment="1">
      <alignment horizontal="left" vertical="center"/>
    </xf>
    <xf numFmtId="0" fontId="79" fillId="13" borderId="63" xfId="0" applyFont="1" applyFill="1" applyBorder="1" applyAlignment="1">
      <alignment horizontal="center" vertical="center" wrapText="1"/>
    </xf>
    <xf numFmtId="0" fontId="79" fillId="13" borderId="14" xfId="0" applyFont="1" applyFill="1" applyBorder="1" applyAlignment="1">
      <alignment horizontal="center" vertical="center" wrapText="1"/>
    </xf>
    <xf numFmtId="0" fontId="79" fillId="13" borderId="64" xfId="0" applyFont="1" applyFill="1" applyBorder="1" applyAlignment="1">
      <alignment horizontal="center" vertical="center" wrapText="1"/>
    </xf>
    <xf numFmtId="0" fontId="56" fillId="46" borderId="45" xfId="0" applyFont="1" applyFill="1" applyBorder="1" applyAlignment="1">
      <alignment horizontal="left" vertical="center" wrapText="1"/>
    </xf>
    <xf numFmtId="0" fontId="56" fillId="46" borderId="0" xfId="0" applyFont="1" applyFill="1" applyAlignment="1">
      <alignment horizontal="left" vertical="center" wrapText="1"/>
    </xf>
    <xf numFmtId="0" fontId="56" fillId="0" borderId="45" xfId="0" applyFont="1" applyBorder="1" applyAlignment="1">
      <alignment horizontal="left" vertical="center" wrapText="1"/>
    </xf>
    <xf numFmtId="0" fontId="56" fillId="0" borderId="0" xfId="0" applyFont="1" applyAlignment="1">
      <alignment horizontal="left" vertical="center" wrapText="1"/>
    </xf>
    <xf numFmtId="0" fontId="77" fillId="7" borderId="45" xfId="0" applyFont="1" applyFill="1" applyBorder="1" applyAlignment="1">
      <alignment horizontal="left" vertical="center" wrapText="1"/>
    </xf>
    <xf numFmtId="0" fontId="77" fillId="7" borderId="0" xfId="0" applyFont="1" applyFill="1" applyAlignment="1">
      <alignment horizontal="left" vertical="center" wrapText="1"/>
    </xf>
    <xf numFmtId="0" fontId="56" fillId="0" borderId="45" xfId="0" applyFont="1" applyBorder="1" applyAlignment="1">
      <alignment horizontal="center" vertical="center"/>
    </xf>
    <xf numFmtId="0" fontId="56" fillId="0" borderId="0" xfId="0" applyFont="1" applyAlignment="1">
      <alignment horizontal="center" vertical="center"/>
    </xf>
    <xf numFmtId="0" fontId="56" fillId="0" borderId="21" xfId="0" applyFont="1" applyBorder="1" applyAlignment="1">
      <alignment horizontal="center" vertical="center"/>
    </xf>
    <xf numFmtId="0" fontId="56" fillId="0" borderId="22" xfId="0" applyFont="1" applyBorder="1" applyAlignment="1">
      <alignment horizontal="center" vertical="center"/>
    </xf>
    <xf numFmtId="0" fontId="56" fillId="0" borderId="25" xfId="0" applyFont="1" applyBorder="1" applyAlignment="1">
      <alignment horizontal="center" vertical="center"/>
    </xf>
    <xf numFmtId="0" fontId="56" fillId="0" borderId="26" xfId="0" applyFont="1" applyBorder="1" applyAlignment="1">
      <alignment horizontal="center" vertical="center"/>
    </xf>
    <xf numFmtId="0" fontId="79" fillId="36" borderId="21" xfId="0" applyFont="1" applyFill="1" applyBorder="1" applyAlignment="1">
      <alignment horizontal="center" vertical="center"/>
    </xf>
    <xf numFmtId="0" fontId="79" fillId="36" borderId="22" xfId="0" applyFont="1" applyFill="1" applyBorder="1" applyAlignment="1">
      <alignment horizontal="center" vertical="center"/>
    </xf>
    <xf numFmtId="0" fontId="79" fillId="36" borderId="23" xfId="0" applyFont="1" applyFill="1" applyBorder="1" applyAlignment="1">
      <alignment horizontal="center" vertical="center"/>
    </xf>
    <xf numFmtId="0" fontId="86" fillId="0" borderId="45" xfId="0" applyFont="1" applyBorder="1" applyAlignment="1">
      <alignment horizontal="left" vertical="center" wrapText="1"/>
    </xf>
    <xf numFmtId="0" fontId="86" fillId="0" borderId="0" xfId="0" applyFont="1" applyAlignment="1">
      <alignment horizontal="left" vertical="center" wrapText="1"/>
    </xf>
    <xf numFmtId="0" fontId="86" fillId="0" borderId="43" xfId="0" applyFont="1" applyBorder="1" applyAlignment="1">
      <alignment horizontal="left" vertical="top" wrapText="1"/>
    </xf>
    <xf numFmtId="0" fontId="86" fillId="0" borderId="44" xfId="0" applyFont="1" applyBorder="1" applyAlignment="1">
      <alignment horizontal="left" vertical="top" wrapText="1"/>
    </xf>
    <xf numFmtId="0" fontId="55" fillId="8" borderId="60" xfId="0" applyFont="1" applyFill="1" applyBorder="1" applyAlignment="1">
      <alignment horizontal="left" vertical="center" wrapText="1"/>
    </xf>
    <xf numFmtId="0" fontId="55" fillId="8" borderId="61" xfId="0" applyFont="1" applyFill="1" applyBorder="1" applyAlignment="1">
      <alignment horizontal="left" vertical="center" wrapText="1"/>
    </xf>
    <xf numFmtId="0" fontId="55" fillId="8" borderId="62" xfId="0" applyFont="1" applyFill="1" applyBorder="1" applyAlignment="1">
      <alignment horizontal="left" vertical="center" wrapText="1"/>
    </xf>
    <xf numFmtId="0" fontId="55" fillId="8" borderId="68" xfId="0" applyFont="1" applyFill="1" applyBorder="1" applyAlignment="1">
      <alignment horizontal="left" vertical="center" indent="1"/>
    </xf>
    <xf numFmtId="0" fontId="55" fillId="8" borderId="7" xfId="0" applyFont="1" applyFill="1" applyBorder="1" applyAlignment="1">
      <alignment horizontal="left" vertical="center" indent="1"/>
    </xf>
    <xf numFmtId="0" fontId="55" fillId="8" borderId="58" xfId="0" applyFont="1" applyFill="1" applyBorder="1" applyAlignment="1">
      <alignment horizontal="right" vertical="center"/>
    </xf>
    <xf numFmtId="0" fontId="55" fillId="8" borderId="17" xfId="0" applyFont="1" applyFill="1" applyBorder="1" applyAlignment="1">
      <alignment horizontal="right" vertical="center"/>
    </xf>
    <xf numFmtId="0" fontId="55" fillId="47" borderId="58" xfId="0" applyFont="1" applyFill="1" applyBorder="1" applyAlignment="1">
      <alignment horizontal="right" vertical="center"/>
    </xf>
    <xf numFmtId="0" fontId="55" fillId="47" borderId="17" xfId="0" applyFont="1" applyFill="1" applyBorder="1" applyAlignment="1">
      <alignment horizontal="right" vertical="center"/>
    </xf>
    <xf numFmtId="0" fontId="74" fillId="8" borderId="60" xfId="0" applyFont="1" applyFill="1" applyBorder="1" applyAlignment="1">
      <alignment horizontal="right" vertical="center" wrapText="1"/>
    </xf>
    <xf numFmtId="0" fontId="74" fillId="8" borderId="69" xfId="0" applyFont="1" applyFill="1" applyBorder="1" applyAlignment="1">
      <alignment horizontal="right" vertical="center" wrapText="1"/>
    </xf>
    <xf numFmtId="172" fontId="56" fillId="0" borderId="45" xfId="66" applyFont="1" applyBorder="1" applyAlignment="1">
      <alignment horizontal="left" vertical="center" wrapText="1"/>
    </xf>
    <xf numFmtId="172" fontId="56" fillId="0" borderId="0" xfId="66" applyFont="1" applyBorder="1" applyAlignment="1">
      <alignment horizontal="left" vertical="center" wrapText="1"/>
    </xf>
    <xf numFmtId="0" fontId="55" fillId="8" borderId="69" xfId="0" applyFont="1" applyFill="1" applyBorder="1" applyAlignment="1">
      <alignment horizontal="center" vertical="center"/>
    </xf>
    <xf numFmtId="0" fontId="55" fillId="8" borderId="68" xfId="0" applyFont="1" applyFill="1" applyBorder="1" applyAlignment="1">
      <alignment horizontal="left" vertical="center" indent="7"/>
    </xf>
    <xf numFmtId="0" fontId="55" fillId="8" borderId="7" xfId="0" applyFont="1" applyFill="1" applyBorder="1" applyAlignment="1">
      <alignment horizontal="left" vertical="center" indent="7"/>
    </xf>
    <xf numFmtId="0" fontId="89" fillId="41" borderId="58" xfId="0" applyFont="1" applyFill="1" applyBorder="1" applyAlignment="1">
      <alignment horizontal="center" vertical="center"/>
    </xf>
    <xf numFmtId="0" fontId="89" fillId="41" borderId="17" xfId="0" applyFont="1" applyFill="1" applyBorder="1" applyAlignment="1">
      <alignment horizontal="center" vertical="center"/>
    </xf>
    <xf numFmtId="0" fontId="75" fillId="41" borderId="83" xfId="0" applyFont="1" applyFill="1" applyBorder="1" applyAlignment="1">
      <alignment horizontal="center" vertical="center" wrapText="1"/>
    </xf>
    <xf numFmtId="0" fontId="75" fillId="41" borderId="5" xfId="0" applyFont="1" applyFill="1" applyBorder="1" applyAlignment="1">
      <alignment horizontal="center" vertical="center"/>
    </xf>
    <xf numFmtId="0" fontId="75" fillId="41" borderId="84" xfId="0" applyFont="1" applyFill="1" applyBorder="1" applyAlignment="1">
      <alignment horizontal="center" vertical="center"/>
    </xf>
    <xf numFmtId="164" fontId="114" fillId="38" borderId="6" xfId="5" applyFont="1" applyFill="1" applyBorder="1" applyAlignment="1" applyProtection="1">
      <alignment horizontal="center" vertical="center"/>
    </xf>
    <xf numFmtId="164" fontId="114" fillId="38" borderId="71" xfId="5" applyFont="1" applyFill="1" applyBorder="1" applyAlignment="1" applyProtection="1">
      <alignment horizontal="center" vertical="center"/>
    </xf>
    <xf numFmtId="0" fontId="55" fillId="0" borderId="0" xfId="0" applyFont="1" applyAlignment="1">
      <alignment horizontal="left" vertical="center" wrapText="1" indent="17"/>
    </xf>
    <xf numFmtId="0" fontId="60" fillId="38" borderId="45" xfId="0" applyFont="1" applyFill="1" applyBorder="1" applyAlignment="1">
      <alignment horizontal="justify" vertical="center" wrapText="1"/>
    </xf>
    <xf numFmtId="0" fontId="60" fillId="38" borderId="0" xfId="0" applyFont="1" applyFill="1" applyAlignment="1">
      <alignment horizontal="justify" vertical="center" wrapText="1"/>
    </xf>
    <xf numFmtId="0" fontId="60" fillId="38" borderId="30" xfId="0" applyFont="1" applyFill="1" applyBorder="1" applyAlignment="1">
      <alignment horizontal="justify" vertical="center" wrapText="1"/>
    </xf>
    <xf numFmtId="0" fontId="60" fillId="38" borderId="45" xfId="0" applyFont="1" applyFill="1" applyBorder="1" applyAlignment="1">
      <alignment horizontal="left" vertical="center"/>
    </xf>
    <xf numFmtId="0" fontId="60" fillId="38" borderId="0" xfId="0" applyFont="1" applyFill="1" applyAlignment="1">
      <alignment horizontal="left" vertical="center"/>
    </xf>
    <xf numFmtId="0" fontId="60" fillId="38" borderId="30" xfId="0" applyFont="1" applyFill="1" applyBorder="1" applyAlignment="1">
      <alignment horizontal="left" vertical="center"/>
    </xf>
    <xf numFmtId="0" fontId="60" fillId="38" borderId="25" xfId="0" applyFont="1" applyFill="1" applyBorder="1" applyAlignment="1">
      <alignment horizontal="left" vertical="top"/>
    </xf>
    <xf numFmtId="0" fontId="60" fillId="38" borderId="26" xfId="0" applyFont="1" applyFill="1" applyBorder="1" applyAlignment="1">
      <alignment horizontal="left" vertical="top"/>
    </xf>
    <xf numFmtId="0" fontId="60" fillId="38" borderId="27" xfId="0" applyFont="1" applyFill="1" applyBorder="1" applyAlignment="1">
      <alignment horizontal="left" vertical="top"/>
    </xf>
    <xf numFmtId="0" fontId="107" fillId="36" borderId="43" xfId="0" applyFont="1" applyFill="1" applyBorder="1" applyAlignment="1">
      <alignment horizontal="center" vertical="center"/>
    </xf>
    <xf numFmtId="0" fontId="107" fillId="36" borderId="44" xfId="0" applyFont="1" applyFill="1" applyBorder="1" applyAlignment="1">
      <alignment horizontal="center" vertical="center"/>
    </xf>
    <xf numFmtId="0" fontId="107" fillId="36" borderId="24" xfId="0" applyFont="1" applyFill="1" applyBorder="1" applyAlignment="1">
      <alignment horizontal="center" vertical="center"/>
    </xf>
    <xf numFmtId="0" fontId="107" fillId="36" borderId="83" xfId="0" applyFont="1" applyFill="1" applyBorder="1" applyAlignment="1">
      <alignment horizontal="center" vertical="center"/>
    </xf>
    <xf numFmtId="0" fontId="107" fillId="36" borderId="5" xfId="0" applyFont="1" applyFill="1" applyBorder="1" applyAlignment="1">
      <alignment horizontal="center" vertical="center"/>
    </xf>
    <xf numFmtId="0" fontId="107" fillId="36" borderId="84" xfId="0" applyFont="1" applyFill="1" applyBorder="1" applyAlignment="1">
      <alignment horizontal="center" vertical="center"/>
    </xf>
    <xf numFmtId="0" fontId="116" fillId="40" borderId="68" xfId="0" applyFont="1" applyFill="1" applyBorder="1" applyAlignment="1">
      <alignment horizontal="center" vertical="center"/>
    </xf>
    <xf numFmtId="0" fontId="116" fillId="40" borderId="13" xfId="0" applyFont="1" applyFill="1" applyBorder="1" applyAlignment="1">
      <alignment horizontal="center" vertical="center"/>
    </xf>
    <xf numFmtId="0" fontId="116" fillId="40" borderId="71" xfId="0" applyFont="1" applyFill="1" applyBorder="1" applyAlignment="1">
      <alignment horizontal="center" vertical="center"/>
    </xf>
    <xf numFmtId="172" fontId="61" fillId="12" borderId="6" xfId="66" applyFont="1" applyFill="1" applyBorder="1" applyAlignment="1" applyProtection="1">
      <alignment horizontal="center" vertical="center"/>
      <protection locked="0"/>
    </xf>
    <xf numFmtId="172" fontId="61" fillId="12" borderId="71" xfId="66" applyFont="1" applyFill="1" applyBorder="1" applyAlignment="1" applyProtection="1">
      <alignment horizontal="center" vertical="center"/>
      <protection locked="0"/>
    </xf>
    <xf numFmtId="0" fontId="103" fillId="12" borderId="6" xfId="0" applyFont="1" applyFill="1" applyBorder="1" applyAlignment="1" applyProtection="1">
      <alignment horizontal="right" vertical="center"/>
      <protection locked="0"/>
    </xf>
    <xf numFmtId="0" fontId="103" fillId="12" borderId="71" xfId="0" applyFont="1" applyFill="1" applyBorder="1" applyAlignment="1" applyProtection="1">
      <alignment horizontal="right" vertical="center"/>
      <protection locked="0"/>
    </xf>
    <xf numFmtId="0" fontId="103" fillId="12" borderId="7" xfId="0" applyFont="1" applyFill="1" applyBorder="1" applyAlignment="1" applyProtection="1">
      <alignment horizontal="right" vertical="center"/>
      <protection locked="0"/>
    </xf>
    <xf numFmtId="164" fontId="117" fillId="38" borderId="6" xfId="5" applyFont="1" applyFill="1" applyBorder="1" applyAlignment="1" applyProtection="1">
      <alignment horizontal="center" vertical="center"/>
    </xf>
    <xf numFmtId="164" fontId="117" fillId="38" borderId="7" xfId="5" applyFont="1" applyFill="1" applyBorder="1" applyAlignment="1" applyProtection="1">
      <alignment horizontal="center" vertical="center"/>
    </xf>
    <xf numFmtId="164" fontId="63" fillId="0" borderId="6" xfId="5" applyFont="1" applyBorder="1" applyAlignment="1" applyProtection="1">
      <alignment horizontal="center" vertical="center"/>
    </xf>
    <xf numFmtId="164" fontId="63" fillId="0" borderId="7" xfId="5" applyFont="1" applyBorder="1" applyAlignment="1" applyProtection="1">
      <alignment horizontal="center" vertical="center"/>
    </xf>
    <xf numFmtId="172" fontId="65" fillId="38" borderId="4" xfId="66" applyFont="1" applyFill="1" applyBorder="1" applyAlignment="1">
      <alignment horizontal="center" vertical="center"/>
    </xf>
    <xf numFmtId="10" fontId="103" fillId="12" borderId="4" xfId="2" applyNumberFormat="1" applyFont="1" applyFill="1" applyBorder="1" applyAlignment="1" applyProtection="1">
      <alignment horizontal="right" vertical="center"/>
      <protection locked="0"/>
    </xf>
    <xf numFmtId="164" fontId="106" fillId="36" borderId="13" xfId="5" applyFont="1" applyFill="1" applyBorder="1" applyAlignment="1" applyProtection="1">
      <alignment horizontal="center" vertical="center"/>
    </xf>
    <xf numFmtId="164" fontId="106" fillId="36" borderId="71" xfId="5" applyFont="1" applyFill="1" applyBorder="1" applyAlignment="1" applyProtection="1">
      <alignment horizontal="center" vertical="center"/>
    </xf>
    <xf numFmtId="0" fontId="106" fillId="36" borderId="6" xfId="0" applyFont="1" applyFill="1" applyBorder="1" applyAlignment="1">
      <alignment horizontal="center"/>
    </xf>
    <xf numFmtId="0" fontId="106" fillId="36" borderId="13" xfId="0" applyFont="1" applyFill="1" applyBorder="1" applyAlignment="1">
      <alignment horizontal="center"/>
    </xf>
    <xf numFmtId="0" fontId="106" fillId="36" borderId="7" xfId="0" applyFont="1" applyFill="1" applyBorder="1" applyAlignment="1">
      <alignment horizontal="center"/>
    </xf>
    <xf numFmtId="172" fontId="65" fillId="12" borderId="6" xfId="66" applyFont="1" applyFill="1" applyBorder="1" applyAlignment="1" applyProtection="1">
      <alignment horizontal="center" vertical="center"/>
      <protection locked="0"/>
    </xf>
    <xf numFmtId="172" fontId="65" fillId="12" borderId="7" xfId="66" applyFont="1" applyFill="1" applyBorder="1" applyAlignment="1" applyProtection="1">
      <alignment horizontal="center" vertical="center"/>
      <protection locked="0"/>
    </xf>
    <xf numFmtId="10" fontId="103" fillId="12" borderId="6" xfId="2" applyNumberFormat="1" applyFont="1" applyFill="1" applyBorder="1" applyAlignment="1" applyProtection="1">
      <alignment horizontal="right" vertical="center"/>
      <protection locked="0"/>
    </xf>
    <xf numFmtId="10" fontId="103" fillId="12" borderId="7" xfId="2" applyNumberFormat="1" applyFont="1" applyFill="1" applyBorder="1" applyAlignment="1" applyProtection="1">
      <alignment horizontal="right" vertical="center"/>
      <protection locked="0"/>
    </xf>
    <xf numFmtId="164" fontId="106" fillId="36" borderId="85" xfId="5" applyFont="1" applyFill="1" applyBorder="1" applyAlignment="1" applyProtection="1">
      <alignment horizontal="center" vertical="center"/>
    </xf>
    <xf numFmtId="164" fontId="106" fillId="36" borderId="86" xfId="5" applyFont="1" applyFill="1" applyBorder="1" applyAlignment="1" applyProtection="1">
      <alignment horizontal="center" vertical="center"/>
    </xf>
    <xf numFmtId="164" fontId="106" fillId="36" borderId="7" xfId="5" applyFont="1" applyFill="1" applyBorder="1" applyAlignment="1" applyProtection="1">
      <alignment horizontal="center" vertical="center"/>
    </xf>
    <xf numFmtId="164" fontId="60" fillId="12" borderId="6" xfId="0" applyNumberFormat="1" applyFont="1" applyFill="1" applyBorder="1" applyAlignment="1" applyProtection="1">
      <alignment horizontal="center" vertical="center"/>
      <protection locked="0"/>
    </xf>
    <xf numFmtId="164" fontId="60" fillId="12" borderId="7" xfId="0" applyNumberFormat="1" applyFont="1" applyFill="1" applyBorder="1" applyAlignment="1" applyProtection="1">
      <alignment horizontal="center" vertical="center"/>
      <protection locked="0"/>
    </xf>
    <xf numFmtId="0" fontId="71" fillId="36" borderId="6" xfId="0" applyFont="1" applyFill="1" applyBorder="1" applyAlignment="1">
      <alignment horizontal="left"/>
    </xf>
    <xf numFmtId="0" fontId="71" fillId="36" borderId="13" xfId="0" applyFont="1" applyFill="1" applyBorder="1" applyAlignment="1">
      <alignment horizontal="left"/>
    </xf>
    <xf numFmtId="0" fontId="71" fillId="36" borderId="7" xfId="0" applyFont="1" applyFill="1" applyBorder="1" applyAlignment="1">
      <alignment horizontal="left"/>
    </xf>
    <xf numFmtId="167" fontId="61" fillId="12" borderId="6" xfId="66" applyNumberFormat="1" applyFont="1" applyFill="1" applyBorder="1" applyAlignment="1" applyProtection="1">
      <alignment horizontal="right" vertical="center"/>
      <protection locked="0"/>
    </xf>
    <xf numFmtId="167" fontId="61" fillId="12" borderId="7" xfId="66" applyNumberFormat="1" applyFont="1" applyFill="1" applyBorder="1" applyAlignment="1" applyProtection="1">
      <alignment horizontal="right" vertical="center"/>
      <protection locked="0"/>
    </xf>
    <xf numFmtId="172" fontId="61" fillId="12" borderId="4" xfId="66" applyFont="1" applyFill="1" applyBorder="1" applyAlignment="1" applyProtection="1">
      <alignment horizontal="right" vertical="center"/>
      <protection locked="0"/>
    </xf>
    <xf numFmtId="0" fontId="60" fillId="8" borderId="6" xfId="0" applyFont="1" applyFill="1" applyBorder="1" applyAlignment="1">
      <alignment horizontal="right" vertical="center"/>
    </xf>
    <xf numFmtId="0" fontId="60" fillId="8" borderId="13" xfId="0" applyFont="1" applyFill="1" applyBorder="1" applyAlignment="1">
      <alignment horizontal="right" vertical="center"/>
    </xf>
    <xf numFmtId="0" fontId="60" fillId="38" borderId="0" xfId="0" applyFont="1" applyFill="1" applyAlignment="1">
      <alignment horizontal="left" vertical="center" wrapText="1"/>
    </xf>
    <xf numFmtId="0" fontId="57" fillId="0" borderId="26" xfId="0" applyFont="1" applyBorder="1" applyAlignment="1">
      <alignment horizontal="center" vertical="center"/>
    </xf>
    <xf numFmtId="0" fontId="102" fillId="36" borderId="21" xfId="0" applyFont="1" applyFill="1" applyBorder="1" applyAlignment="1">
      <alignment horizontal="center" vertical="center"/>
    </xf>
    <xf numFmtId="0" fontId="102" fillId="36" borderId="22" xfId="0" applyFont="1" applyFill="1" applyBorder="1" applyAlignment="1">
      <alignment horizontal="center" vertical="center"/>
    </xf>
    <xf numFmtId="0" fontId="102" fillId="36" borderId="23" xfId="0" applyFont="1" applyFill="1" applyBorder="1" applyAlignment="1">
      <alignment horizontal="center" vertical="center"/>
    </xf>
    <xf numFmtId="0" fontId="57" fillId="0" borderId="45" xfId="0" applyFont="1" applyBorder="1" applyAlignment="1">
      <alignment horizontal="center" vertical="center"/>
    </xf>
    <xf numFmtId="0" fontId="57" fillId="0" borderId="0" xfId="0" applyFont="1" applyAlignment="1">
      <alignment horizontal="center" vertical="center"/>
    </xf>
    <xf numFmtId="0" fontId="60" fillId="40" borderId="72" xfId="0" applyFont="1" applyFill="1" applyBorder="1" applyAlignment="1">
      <alignment horizontal="center" vertical="center" wrapText="1"/>
    </xf>
    <xf numFmtId="0" fontId="60" fillId="40" borderId="45" xfId="0" applyFont="1" applyFill="1" applyBorder="1" applyAlignment="1">
      <alignment horizontal="center" vertical="center" wrapText="1"/>
    </xf>
    <xf numFmtId="0" fontId="60" fillId="40" borderId="75" xfId="0" applyFont="1" applyFill="1" applyBorder="1" applyAlignment="1">
      <alignment horizontal="center" vertical="center" wrapText="1"/>
    </xf>
    <xf numFmtId="0" fontId="60" fillId="40" borderId="73" xfId="0" applyFont="1" applyFill="1" applyBorder="1" applyAlignment="1">
      <alignment horizontal="center" vertical="center" wrapText="1"/>
    </xf>
    <xf numFmtId="0" fontId="60" fillId="40" borderId="74" xfId="0" applyFont="1" applyFill="1" applyBorder="1" applyAlignment="1">
      <alignment horizontal="center" vertical="center" wrapText="1"/>
    </xf>
    <xf numFmtId="0" fontId="60" fillId="40" borderId="76" xfId="0" applyFont="1" applyFill="1" applyBorder="1" applyAlignment="1">
      <alignment horizontal="center" vertical="center" wrapText="1"/>
    </xf>
    <xf numFmtId="0" fontId="103" fillId="40" borderId="8" xfId="0" applyFont="1" applyFill="1" applyBorder="1" applyAlignment="1">
      <alignment horizontal="center" vertical="center" wrapText="1"/>
    </xf>
    <xf numFmtId="0" fontId="103" fillId="40" borderId="5" xfId="0" applyFont="1" applyFill="1" applyBorder="1" applyAlignment="1">
      <alignment horizontal="center" vertical="center" wrapText="1"/>
    </xf>
    <xf numFmtId="0" fontId="103" fillId="8" borderId="6" xfId="0" applyFont="1" applyFill="1" applyBorder="1" applyAlignment="1">
      <alignment horizontal="right" vertical="center"/>
    </xf>
    <xf numFmtId="0" fontId="103" fillId="8" borderId="13" xfId="0" applyFont="1" applyFill="1" applyBorder="1" applyAlignment="1">
      <alignment horizontal="right" vertical="center"/>
    </xf>
    <xf numFmtId="0" fontId="60" fillId="43" borderId="6" xfId="0" applyFont="1" applyFill="1" applyBorder="1" applyAlignment="1">
      <alignment horizontal="left" vertical="center"/>
    </xf>
    <xf numFmtId="0" fontId="60" fillId="43" borderId="13" xfId="0" applyFont="1" applyFill="1" applyBorder="1" applyAlignment="1">
      <alignment horizontal="left" vertical="center"/>
    </xf>
    <xf numFmtId="0" fontId="60" fillId="48" borderId="6" xfId="0" applyFont="1" applyFill="1" applyBorder="1" applyAlignment="1">
      <alignment horizontal="left" vertical="center"/>
    </xf>
    <xf numFmtId="0" fontId="60" fillId="48" borderId="13" xfId="0" applyFont="1" applyFill="1" applyBorder="1" applyAlignment="1">
      <alignment horizontal="left" vertical="center"/>
    </xf>
    <xf numFmtId="0" fontId="128" fillId="43" borderId="4" xfId="0" applyFont="1" applyFill="1" applyBorder="1" applyAlignment="1">
      <alignment horizontal="center" vertical="center" wrapText="1"/>
    </xf>
    <xf numFmtId="0" fontId="128" fillId="40" borderId="4" xfId="0" applyFont="1" applyFill="1" applyBorder="1" applyAlignment="1">
      <alignment horizontal="center" vertical="center" wrapText="1"/>
    </xf>
    <xf numFmtId="0" fontId="60" fillId="38" borderId="0" xfId="0" applyFont="1" applyFill="1" applyAlignment="1">
      <alignment horizontal="left" vertical="top"/>
    </xf>
    <xf numFmtId="0" fontId="60" fillId="40" borderId="6" xfId="0" applyFont="1" applyFill="1" applyBorder="1" applyAlignment="1">
      <alignment horizontal="left" vertical="center"/>
    </xf>
    <xf numFmtId="0" fontId="60" fillId="40" borderId="13" xfId="0" applyFont="1" applyFill="1" applyBorder="1" applyAlignment="1">
      <alignment horizontal="left" vertical="center"/>
    </xf>
    <xf numFmtId="0" fontId="60" fillId="43" borderId="6" xfId="0" applyFont="1" applyFill="1" applyBorder="1" applyAlignment="1">
      <alignment horizontal="right" vertical="center"/>
    </xf>
    <xf numFmtId="0" fontId="60" fillId="43" borderId="13" xfId="0" applyFont="1" applyFill="1" applyBorder="1" applyAlignment="1">
      <alignment horizontal="right" vertical="center"/>
    </xf>
    <xf numFmtId="0" fontId="102" fillId="36" borderId="21" xfId="0" applyFont="1" applyFill="1" applyBorder="1" applyAlignment="1">
      <alignment horizontal="left" vertical="center" indent="1"/>
    </xf>
    <xf numFmtId="0" fontId="102" fillId="36" borderId="22" xfId="0" applyFont="1" applyFill="1" applyBorder="1" applyAlignment="1">
      <alignment horizontal="left" vertical="center" indent="1"/>
    </xf>
    <xf numFmtId="0" fontId="122" fillId="40" borderId="8" xfId="0" applyFont="1" applyFill="1" applyBorder="1" applyAlignment="1">
      <alignment horizontal="center" vertical="center" wrapText="1"/>
    </xf>
    <xf numFmtId="0" fontId="122" fillId="40" borderId="0" xfId="0" applyFont="1" applyFill="1" applyAlignment="1">
      <alignment horizontal="center" vertical="center" wrapText="1"/>
    </xf>
    <xf numFmtId="0" fontId="103" fillId="40" borderId="7" xfId="0" applyFont="1" applyFill="1" applyBorder="1" applyAlignment="1">
      <alignment horizontal="center" vertical="center"/>
    </xf>
    <xf numFmtId="0" fontId="103" fillId="40" borderId="4" xfId="0" applyFont="1" applyFill="1" applyBorder="1" applyAlignment="1">
      <alignment horizontal="center" vertical="center"/>
    </xf>
    <xf numFmtId="0" fontId="60" fillId="40" borderId="6" xfId="0" applyFont="1" applyFill="1" applyBorder="1" applyAlignment="1">
      <alignment horizontal="right" vertical="center"/>
    </xf>
    <xf numFmtId="0" fontId="60" fillId="40" borderId="13" xfId="0" applyFont="1" applyFill="1" applyBorder="1" applyAlignment="1">
      <alignment horizontal="right" vertical="center"/>
    </xf>
    <xf numFmtId="0" fontId="62" fillId="40" borderId="41" xfId="0" applyFont="1" applyFill="1" applyBorder="1" applyAlignment="1">
      <alignment horizontal="center" vertical="center" wrapText="1"/>
    </xf>
    <xf numFmtId="0" fontId="62" fillId="40" borderId="0" xfId="0" applyFont="1" applyFill="1" applyAlignment="1">
      <alignment horizontal="center" vertical="center" wrapText="1"/>
    </xf>
    <xf numFmtId="0" fontId="57" fillId="42" borderId="41" xfId="0" applyFont="1" applyFill="1" applyBorder="1" applyAlignment="1">
      <alignment horizontal="left" vertical="center" wrapText="1"/>
    </xf>
    <xf numFmtId="0" fontId="57" fillId="42" borderId="0" xfId="0" applyFont="1" applyFill="1" applyAlignment="1">
      <alignment horizontal="left" vertical="center" wrapText="1"/>
    </xf>
    <xf numFmtId="0" fontId="57" fillId="38" borderId="41" xfId="0" applyFont="1" applyFill="1" applyBorder="1" applyAlignment="1">
      <alignment horizontal="center" vertical="center" wrapText="1"/>
    </xf>
    <xf numFmtId="0" fontId="57" fillId="38" borderId="0" xfId="0" applyFont="1" applyFill="1" applyAlignment="1">
      <alignment horizontal="center" vertical="center" wrapText="1"/>
    </xf>
    <xf numFmtId="0" fontId="60" fillId="36" borderId="4" xfId="0" applyFont="1" applyFill="1" applyBorder="1" applyAlignment="1" applyProtection="1">
      <alignment horizontal="center" vertical="center" wrapText="1"/>
      <protection hidden="1"/>
    </xf>
    <xf numFmtId="0" fontId="60" fillId="36" borderId="9" xfId="0" applyFont="1" applyFill="1" applyBorder="1" applyAlignment="1" applyProtection="1">
      <alignment horizontal="center" vertical="center" wrapText="1"/>
      <protection hidden="1"/>
    </xf>
    <xf numFmtId="0" fontId="60" fillId="36" borderId="8" xfId="0" applyFont="1" applyFill="1" applyBorder="1" applyAlignment="1" applyProtection="1">
      <alignment horizontal="center" vertical="center" wrapText="1"/>
      <protection hidden="1"/>
    </xf>
    <xf numFmtId="0" fontId="60" fillId="36" borderId="10" xfId="0" applyFont="1" applyFill="1" applyBorder="1" applyAlignment="1" applyProtection="1">
      <alignment horizontal="center" vertical="center" wrapText="1"/>
      <protection hidden="1"/>
    </xf>
    <xf numFmtId="0" fontId="60" fillId="36" borderId="11" xfId="0" applyFont="1" applyFill="1" applyBorder="1" applyAlignment="1" applyProtection="1">
      <alignment horizontal="center" vertical="center" wrapText="1"/>
      <protection hidden="1"/>
    </xf>
    <xf numFmtId="0" fontId="60" fillId="36" borderId="5" xfId="0" applyFont="1" applyFill="1" applyBorder="1" applyAlignment="1" applyProtection="1">
      <alignment horizontal="center" vertical="center" wrapText="1"/>
      <protection hidden="1"/>
    </xf>
    <xf numFmtId="0" fontId="60" fillId="36" borderId="12" xfId="0" applyFont="1" applyFill="1" applyBorder="1" applyAlignment="1" applyProtection="1">
      <alignment horizontal="center" vertical="center" wrapText="1"/>
      <protection hidden="1"/>
    </xf>
    <xf numFmtId="10" fontId="63" fillId="7" borderId="6" xfId="2" applyNumberFormat="1" applyFont="1" applyFill="1" applyBorder="1" applyAlignment="1" applyProtection="1">
      <alignment horizontal="center" vertical="center" wrapText="1"/>
      <protection hidden="1"/>
    </xf>
    <xf numFmtId="10" fontId="63" fillId="7" borderId="13" xfId="2" applyNumberFormat="1" applyFont="1" applyFill="1" applyBorder="1" applyAlignment="1" applyProtection="1">
      <alignment horizontal="center" vertical="center" wrapText="1"/>
      <protection hidden="1"/>
    </xf>
    <xf numFmtId="10" fontId="63" fillId="7" borderId="7" xfId="2" applyNumberFormat="1" applyFont="1" applyFill="1" applyBorder="1" applyAlignment="1" applyProtection="1">
      <alignment horizontal="center" vertical="center" wrapText="1"/>
      <protection hidden="1"/>
    </xf>
    <xf numFmtId="10" fontId="65" fillId="9" borderId="6" xfId="2" applyNumberFormat="1" applyFont="1" applyFill="1" applyBorder="1" applyAlignment="1" applyProtection="1">
      <alignment horizontal="center" vertical="center" wrapText="1"/>
      <protection hidden="1"/>
    </xf>
    <xf numFmtId="10" fontId="65" fillId="9" borderId="13" xfId="2" applyNumberFormat="1" applyFont="1" applyFill="1" applyBorder="1" applyAlignment="1" applyProtection="1">
      <alignment horizontal="center" vertical="center" wrapText="1"/>
      <protection hidden="1"/>
    </xf>
    <xf numFmtId="10" fontId="65" fillId="9" borderId="7" xfId="2" applyNumberFormat="1" applyFont="1" applyFill="1" applyBorder="1" applyAlignment="1" applyProtection="1">
      <alignment horizontal="center" vertical="center" wrapText="1"/>
      <protection hidden="1"/>
    </xf>
    <xf numFmtId="0" fontId="57" fillId="42" borderId="41" xfId="0" applyFont="1" applyFill="1" applyBorder="1" applyAlignment="1">
      <alignment horizontal="left" vertical="center"/>
    </xf>
    <xf numFmtId="0" fontId="57" fillId="42" borderId="0" xfId="0" applyFont="1" applyFill="1" applyAlignment="1">
      <alignment horizontal="left" vertical="center"/>
    </xf>
    <xf numFmtId="0" fontId="69" fillId="42" borderId="41" xfId="0" applyFont="1" applyFill="1" applyBorder="1" applyAlignment="1">
      <alignment horizontal="left" vertical="center"/>
    </xf>
    <xf numFmtId="0" fontId="69" fillId="42" borderId="0" xfId="0" applyFont="1" applyFill="1" applyAlignment="1">
      <alignment horizontal="left" vertical="center"/>
    </xf>
  </cellXfs>
  <cellStyles count="67">
    <cellStyle name="20% - Ênfase1 2" xfId="13" xr:uid="{00000000-0005-0000-0000-000000000000}"/>
    <cellStyle name="20% - Ênfase2 2" xfId="14" xr:uid="{00000000-0005-0000-0000-000001000000}"/>
    <cellStyle name="20% - Ênfase3 2" xfId="15" xr:uid="{00000000-0005-0000-0000-000002000000}"/>
    <cellStyle name="20% - Ênfase4 2" xfId="16" xr:uid="{00000000-0005-0000-0000-000003000000}"/>
    <cellStyle name="20% - Ênfase5 2" xfId="17" xr:uid="{00000000-0005-0000-0000-000004000000}"/>
    <cellStyle name="20% - Ênfase6 2" xfId="18" xr:uid="{00000000-0005-0000-0000-000005000000}"/>
    <cellStyle name="40% - Ênfase1 2" xfId="19" xr:uid="{00000000-0005-0000-0000-000006000000}"/>
    <cellStyle name="40% - Ênfase2 2" xfId="20" xr:uid="{00000000-0005-0000-0000-000007000000}"/>
    <cellStyle name="40% - Ênfase3 2" xfId="21" xr:uid="{00000000-0005-0000-0000-000008000000}"/>
    <cellStyle name="40% - Ênfase4 2" xfId="22" xr:uid="{00000000-0005-0000-0000-000009000000}"/>
    <cellStyle name="40% - Ênfase5 2" xfId="23" xr:uid="{00000000-0005-0000-0000-00000A000000}"/>
    <cellStyle name="40% - Ênfase6 2" xfId="24" xr:uid="{00000000-0005-0000-0000-00000B000000}"/>
    <cellStyle name="60% - Ênfase1 2" xfId="25" xr:uid="{00000000-0005-0000-0000-00000C000000}"/>
    <cellStyle name="60% - Ênfase2 2" xfId="26" xr:uid="{00000000-0005-0000-0000-00000D000000}"/>
    <cellStyle name="60% - Ênfase3 2" xfId="27" xr:uid="{00000000-0005-0000-0000-00000E000000}"/>
    <cellStyle name="60% - Ênfase4 2" xfId="28" xr:uid="{00000000-0005-0000-0000-00000F000000}"/>
    <cellStyle name="60% - Ênfase5 2" xfId="29" xr:uid="{00000000-0005-0000-0000-000010000000}"/>
    <cellStyle name="60% - Ênfase6 2" xfId="30" xr:uid="{00000000-0005-0000-0000-000011000000}"/>
    <cellStyle name="Bom 2" xfId="31" xr:uid="{00000000-0005-0000-0000-000012000000}"/>
    <cellStyle name="Cálculo 2" xfId="32" xr:uid="{00000000-0005-0000-0000-000013000000}"/>
    <cellStyle name="Célula de Verificação 2" xfId="33" xr:uid="{00000000-0005-0000-0000-000014000000}"/>
    <cellStyle name="Célula Vinculada 2" xfId="34" xr:uid="{00000000-0005-0000-0000-000015000000}"/>
    <cellStyle name="Ênfase1 2" xfId="35" xr:uid="{00000000-0005-0000-0000-000016000000}"/>
    <cellStyle name="Ênfase2 2" xfId="36" xr:uid="{00000000-0005-0000-0000-000017000000}"/>
    <cellStyle name="Ênfase3 2" xfId="37" xr:uid="{00000000-0005-0000-0000-000018000000}"/>
    <cellStyle name="Ênfase4 2" xfId="38" xr:uid="{00000000-0005-0000-0000-000019000000}"/>
    <cellStyle name="Ênfase5 2" xfId="39" xr:uid="{00000000-0005-0000-0000-00001A000000}"/>
    <cellStyle name="Ênfase6 2" xfId="40" xr:uid="{00000000-0005-0000-0000-00001B000000}"/>
    <cellStyle name="Entrada 2" xfId="41" xr:uid="{00000000-0005-0000-0000-00001C000000}"/>
    <cellStyle name="Hiperlink" xfId="64" builtinId="8"/>
    <cellStyle name="Incorreto 2" xfId="42" xr:uid="{00000000-0005-0000-0000-00001E000000}"/>
    <cellStyle name="Moeda" xfId="1" builtinId="4"/>
    <cellStyle name="Moeda 2" xfId="5" xr:uid="{00000000-0005-0000-0000-000020000000}"/>
    <cellStyle name="Moeda 2 2" xfId="43" xr:uid="{00000000-0005-0000-0000-000021000000}"/>
    <cellStyle name="Moeda 3" xfId="44" xr:uid="{00000000-0005-0000-0000-000022000000}"/>
    <cellStyle name="Moeda 4" xfId="45" xr:uid="{00000000-0005-0000-0000-000023000000}"/>
    <cellStyle name="Moeda 5" xfId="9" xr:uid="{00000000-0005-0000-0000-000024000000}"/>
    <cellStyle name="Moeda 6" xfId="11" xr:uid="{00000000-0005-0000-0000-000025000000}"/>
    <cellStyle name="Moeda 7" xfId="66" xr:uid="{DAC5CE28-525F-4D0E-8C80-94ABBDF109CD}"/>
    <cellStyle name="Neutra 2" xfId="46" xr:uid="{00000000-0005-0000-0000-000026000000}"/>
    <cellStyle name="Normal" xfId="0" builtinId="0"/>
    <cellStyle name="Normal 2" xfId="3" xr:uid="{00000000-0005-0000-0000-000028000000}"/>
    <cellStyle name="Normal 2 2" xfId="47" xr:uid="{00000000-0005-0000-0000-000029000000}"/>
    <cellStyle name="Normal 3" xfId="48" xr:uid="{00000000-0005-0000-0000-00002A000000}"/>
    <cellStyle name="Normal 4" xfId="4" xr:uid="{00000000-0005-0000-0000-00002B000000}"/>
    <cellStyle name="Normal 5" xfId="49" xr:uid="{00000000-0005-0000-0000-00002C000000}"/>
    <cellStyle name="Normal 6" xfId="7" xr:uid="{00000000-0005-0000-0000-00002D000000}"/>
    <cellStyle name="Normal 7" xfId="10" xr:uid="{00000000-0005-0000-0000-00002E000000}"/>
    <cellStyle name="Nota 2" xfId="50" xr:uid="{00000000-0005-0000-0000-00002F000000}"/>
    <cellStyle name="Porcentagem" xfId="2" builtinId="5"/>
    <cellStyle name="Porcentagem 2" xfId="51" xr:uid="{00000000-0005-0000-0000-000031000000}"/>
    <cellStyle name="Porcentagem 3" xfId="52" xr:uid="{00000000-0005-0000-0000-000032000000}"/>
    <cellStyle name="Porcentagem 4" xfId="8" xr:uid="{00000000-0005-0000-0000-000033000000}"/>
    <cellStyle name="Porcentagem 5" xfId="12" xr:uid="{00000000-0005-0000-0000-000034000000}"/>
    <cellStyle name="Saída 2" xfId="53" xr:uid="{00000000-0005-0000-0000-000035000000}"/>
    <cellStyle name="Separador de milhares 2" xfId="54" xr:uid="{00000000-0005-0000-0000-000036000000}"/>
    <cellStyle name="Texto de Aviso 2" xfId="55" xr:uid="{00000000-0005-0000-0000-000037000000}"/>
    <cellStyle name="Texto Explicativo 2" xfId="56" xr:uid="{00000000-0005-0000-0000-000038000000}"/>
    <cellStyle name="Título 1 2" xfId="57" xr:uid="{00000000-0005-0000-0000-000039000000}"/>
    <cellStyle name="Título 2 2" xfId="58" xr:uid="{00000000-0005-0000-0000-00003A000000}"/>
    <cellStyle name="Título 3 2" xfId="59" xr:uid="{00000000-0005-0000-0000-00003B000000}"/>
    <cellStyle name="Título 4 2" xfId="60" xr:uid="{00000000-0005-0000-0000-00003C000000}"/>
    <cellStyle name="Título 5" xfId="61" xr:uid="{00000000-0005-0000-0000-00003D000000}"/>
    <cellStyle name="Total 2" xfId="62" xr:uid="{00000000-0005-0000-0000-00003E000000}"/>
    <cellStyle name="Vírgula" xfId="65" builtinId="3"/>
    <cellStyle name="Vírgula 2" xfId="6" xr:uid="{00000000-0005-0000-0000-000040000000}"/>
    <cellStyle name="Vírgula 2 2" xfId="63" xr:uid="{00000000-0005-0000-0000-000041000000}"/>
  </cellStyles>
  <dxfs count="0"/>
  <tableStyles count="0" defaultTableStyle="TableStyleMedium9" defaultPivotStyle="PivotStyleLight16"/>
  <colors>
    <mruColors>
      <color rgb="FF269DAA"/>
      <color rgb="FFFF6600"/>
      <color rgb="FFF038A1"/>
      <color rgb="FFFA6850"/>
      <color rgb="FFD9D9D9"/>
      <color rgb="FFDBB7FF"/>
      <color rgb="FFCC99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4d-CUSTOS COPEIRA'!Area_de_impressao"/><Relationship Id="rId13" Type="http://schemas.openxmlformats.org/officeDocument/2006/relationships/hyperlink" Target="#'9-CUSTOS CONT. PRAGAS'!Area_de_impressao"/><Relationship Id="rId3" Type="http://schemas.openxmlformats.org/officeDocument/2006/relationships/hyperlink" Target="#'2-EMPREGADOS X PRODUTIVIDADE'!Area_de_impressao"/><Relationship Id="rId7" Type="http://schemas.openxmlformats.org/officeDocument/2006/relationships/hyperlink" Target="#'4c-CUSTOS LIDER'!Area_de_impressao"/><Relationship Id="rId12" Type="http://schemas.openxmlformats.org/officeDocument/2006/relationships/hyperlink" Target="#'8-CUSTOS RESERVATORIOS'!Area_de_impressao"/><Relationship Id="rId2" Type="http://schemas.openxmlformats.org/officeDocument/2006/relationships/hyperlink" Target="#INDICE!A1"/><Relationship Id="rId1" Type="http://schemas.openxmlformats.org/officeDocument/2006/relationships/hyperlink" Target="#'1-RESUMO PROPOSTA'!Area_de_impressao"/><Relationship Id="rId6" Type="http://schemas.openxmlformats.org/officeDocument/2006/relationships/hyperlink" Target="#'4b-CUSTOS AGENTE HIGIENIZA&#199;&#194;O'!Area_de_impressao"/><Relationship Id="rId11" Type="http://schemas.openxmlformats.org/officeDocument/2006/relationships/hyperlink" Target="#'7-CUSTOS MATERIAIS E EQUIP.'!A1"/><Relationship Id="rId5" Type="http://schemas.openxmlformats.org/officeDocument/2006/relationships/hyperlink" Target="#'4a-CUSTOS SERVENTE AUX LIMPEZA'!Area_de_impressao"/><Relationship Id="rId10" Type="http://schemas.openxmlformats.org/officeDocument/2006/relationships/hyperlink" Target="#'6-CUSTOS UNIFORMES'!Area_de_impressao"/><Relationship Id="rId4" Type="http://schemas.openxmlformats.org/officeDocument/2006/relationships/hyperlink" Target="#'3-PRE&#199;O POR M&#178;'!Area_de_impressao"/><Relationship Id="rId9" Type="http://schemas.openxmlformats.org/officeDocument/2006/relationships/hyperlink" Target="#'5-BENEFICIOS'!Area_de_impressao"/><Relationship Id="rId14" Type="http://schemas.openxmlformats.org/officeDocument/2006/relationships/hyperlink" Target="#'10-CONTIGENCIAMENTO TRABALHISTA'!Area_de_impressao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hyperlink" Target="#INDICE!A1"/><Relationship Id="rId1" Type="http://schemas.openxmlformats.org/officeDocument/2006/relationships/image" Target="../media/image4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INDICE!A1"/><Relationship Id="rId1" Type="http://schemas.openxmlformats.org/officeDocument/2006/relationships/image" Target="../media/image4.jpe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hyperlink" Target="#INDICE!A1"/><Relationship Id="rId1" Type="http://schemas.openxmlformats.org/officeDocument/2006/relationships/image" Target="../media/image4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hyperlink" Target="#INDICE!A1"/><Relationship Id="rId1" Type="http://schemas.openxmlformats.org/officeDocument/2006/relationships/image" Target="../media/image4.jpe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hyperlink" Target="#INDICE!A1"/><Relationship Id="rId1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INDICE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INDICE!A1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INDICE!A1"/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INDICE!A1"/><Relationship Id="rId2" Type="http://schemas.openxmlformats.org/officeDocument/2006/relationships/image" Target="../media/image3.jpeg"/><Relationship Id="rId1" Type="http://schemas.openxmlformats.org/officeDocument/2006/relationships/hyperlink" Target="#'PLANILHA FORMA&#199;&#195;O DE PRE&#199;O'!I12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INDICE!A1"/><Relationship Id="rId2" Type="http://schemas.openxmlformats.org/officeDocument/2006/relationships/image" Target="../media/image3.jpeg"/><Relationship Id="rId1" Type="http://schemas.openxmlformats.org/officeDocument/2006/relationships/hyperlink" Target="#'PLANILHA FORMA&#199;&#195;O DE PRE&#199;O'!I12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hyperlink" Target="#INDICE!A1"/><Relationship Id="rId2" Type="http://schemas.openxmlformats.org/officeDocument/2006/relationships/image" Target="../media/image3.jpeg"/><Relationship Id="rId1" Type="http://schemas.openxmlformats.org/officeDocument/2006/relationships/hyperlink" Target="#'PLANILHA FORMA&#199;&#195;O DE PRE&#199;O'!I12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INDICE!A1"/><Relationship Id="rId2" Type="http://schemas.openxmlformats.org/officeDocument/2006/relationships/image" Target="../media/image3.jpeg"/><Relationship Id="rId1" Type="http://schemas.openxmlformats.org/officeDocument/2006/relationships/hyperlink" Target="#'PLANILHA FORMA&#199;&#195;O DE PRE&#199;O'!I12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hyperlink" Target="#INDICE!A1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268940</xdr:colOff>
      <xdr:row>9</xdr:row>
      <xdr:rowOff>59762</xdr:rowOff>
    </xdr:from>
    <xdr:to>
      <xdr:col>1</xdr:col>
      <xdr:colOff>442469</xdr:colOff>
      <xdr:row>10</xdr:row>
      <xdr:rowOff>44822</xdr:rowOff>
    </xdr:to>
    <xdr:sp macro="" textlink="">
      <xdr:nvSpPr>
        <xdr:cNvPr id="9" name="Retângulo: Cantos Arredondados 8">
          <a:hlinkClick xmlns:r="http://schemas.openxmlformats.org/officeDocument/2006/relationships" r:id="rId1" tooltip="*"/>
          <a:extLst>
            <a:ext uri="{FF2B5EF4-FFF2-40B4-BE49-F238E27FC236}">
              <a16:creationId xmlns:a16="http://schemas.microsoft.com/office/drawing/2014/main" id="{195FEB93-D3A1-1121-22E4-58A8D5EF086A}"/>
            </a:ext>
          </a:extLst>
        </xdr:cNvPr>
        <xdr:cNvSpPr/>
      </xdr:nvSpPr>
      <xdr:spPr>
        <a:xfrm>
          <a:off x="268940" y="3496233"/>
          <a:ext cx="2340000" cy="560295"/>
        </a:xfrm>
        <a:prstGeom prst="roundRect">
          <a:avLst/>
        </a:prstGeom>
        <a:ln w="3175">
          <a:solidFill>
            <a:schemeClr val="tx2">
              <a:lumMod val="60000"/>
              <a:lumOff val="40000"/>
            </a:schemeClr>
          </a:solidFill>
        </a:ln>
        <a:effectLst>
          <a:outerShdw blurRad="40000" dist="20000" dir="5400000" rotWithShape="0">
            <a:srgbClr val="000000">
              <a:alpha val="38000"/>
            </a:srgbClr>
          </a:outerShdw>
          <a:softEdge rad="12700"/>
        </a:effectLst>
        <a:scene3d>
          <a:camera prst="orthographicFront"/>
          <a:lightRig rig="threePt" dir="t"/>
        </a:scene3d>
        <a:sp3d>
          <a:bevelT/>
        </a:sp3d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100" b="1">
              <a:solidFill>
                <a:schemeClr val="bg1">
                  <a:lumMod val="95000"/>
                </a:schemeClr>
              </a:solidFill>
              <a:latin typeface="Aptos Black" panose="020B0004020202020204" pitchFamily="34" charset="0"/>
            </a:rPr>
            <a:t>1-RESUMO PROPOSTA</a:t>
          </a:r>
        </a:p>
      </xdr:txBody>
    </xdr:sp>
    <xdr:clientData/>
  </xdr:twoCellAnchor>
  <xdr:twoCellAnchor editAs="absolute">
    <xdr:from>
      <xdr:col>6</xdr:col>
      <xdr:colOff>86380</xdr:colOff>
      <xdr:row>0</xdr:row>
      <xdr:rowOff>86378</xdr:rowOff>
    </xdr:from>
    <xdr:to>
      <xdr:col>7</xdr:col>
      <xdr:colOff>42956</xdr:colOff>
      <xdr:row>1</xdr:row>
      <xdr:rowOff>198437</xdr:rowOff>
    </xdr:to>
    <xdr:sp macro="" textlink="">
      <xdr:nvSpPr>
        <xdr:cNvPr id="12" name="Retângulo: Cantos Arredondados 11">
          <a:hlinkClick xmlns:r="http://schemas.openxmlformats.org/officeDocument/2006/relationships" r:id="rId2" tooltip="Voltar ao índice"/>
          <a:extLst>
            <a:ext uri="{FF2B5EF4-FFF2-40B4-BE49-F238E27FC236}">
              <a16:creationId xmlns:a16="http://schemas.microsoft.com/office/drawing/2014/main" id="{BCEF5F83-7544-4BC6-9BF3-568A9801278D}"/>
            </a:ext>
          </a:extLst>
        </xdr:cNvPr>
        <xdr:cNvSpPr/>
      </xdr:nvSpPr>
      <xdr:spPr>
        <a:xfrm>
          <a:off x="13088005" y="86378"/>
          <a:ext cx="567764" cy="294622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800" b="1" i="0"/>
            <a:t>VOLTAR</a:t>
          </a:r>
        </a:p>
      </xdr:txBody>
    </xdr:sp>
    <xdr:clientData fPrintsWithSheet="0"/>
  </xdr:twoCellAnchor>
  <xdr:twoCellAnchor>
    <xdr:from>
      <xdr:col>0</xdr:col>
      <xdr:colOff>256985</xdr:colOff>
      <xdr:row>10</xdr:row>
      <xdr:rowOff>197225</xdr:rowOff>
    </xdr:from>
    <xdr:to>
      <xdr:col>1</xdr:col>
      <xdr:colOff>430514</xdr:colOff>
      <xdr:row>11</xdr:row>
      <xdr:rowOff>182284</xdr:rowOff>
    </xdr:to>
    <xdr:sp macro="" textlink="">
      <xdr:nvSpPr>
        <xdr:cNvPr id="13" name="Retângulo: Cantos Arredondados 12">
          <a:hlinkClick xmlns:r="http://schemas.openxmlformats.org/officeDocument/2006/relationships" r:id="rId3" tooltip="*"/>
          <a:extLst>
            <a:ext uri="{FF2B5EF4-FFF2-40B4-BE49-F238E27FC236}">
              <a16:creationId xmlns:a16="http://schemas.microsoft.com/office/drawing/2014/main" id="{5CA17654-FD5F-49FA-A738-BC28E9FA2899}"/>
            </a:ext>
          </a:extLst>
        </xdr:cNvPr>
        <xdr:cNvSpPr/>
      </xdr:nvSpPr>
      <xdr:spPr>
        <a:xfrm>
          <a:off x="256985" y="3871154"/>
          <a:ext cx="2341600" cy="556559"/>
        </a:xfrm>
        <a:prstGeom prst="roundRect">
          <a:avLst/>
        </a:prstGeom>
        <a:ln w="3175">
          <a:solidFill>
            <a:schemeClr val="tx2">
              <a:lumMod val="60000"/>
              <a:lumOff val="40000"/>
            </a:schemeClr>
          </a:solidFill>
        </a:ln>
        <a:effectLst>
          <a:outerShdw blurRad="40000" dist="20000" dir="5400000" rotWithShape="0">
            <a:srgbClr val="000000">
              <a:alpha val="38000"/>
            </a:srgbClr>
          </a:outerShdw>
          <a:softEdge rad="12700"/>
        </a:effectLst>
        <a:scene3d>
          <a:camera prst="orthographicFront"/>
          <a:lightRig rig="threePt" dir="t"/>
        </a:scene3d>
        <a:sp3d>
          <a:bevelT/>
        </a:sp3d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050" b="1">
              <a:solidFill>
                <a:schemeClr val="bg1">
                  <a:lumMod val="95000"/>
                </a:schemeClr>
              </a:solidFill>
              <a:latin typeface="Aptos Black" panose="020B0004020202020204" pitchFamily="34" charset="0"/>
            </a:rPr>
            <a:t>2-EMPREGADOS X PRODUTIVIDADE</a:t>
          </a:r>
        </a:p>
      </xdr:txBody>
    </xdr:sp>
    <xdr:clientData/>
  </xdr:twoCellAnchor>
  <xdr:twoCellAnchor>
    <xdr:from>
      <xdr:col>0</xdr:col>
      <xdr:colOff>252507</xdr:colOff>
      <xdr:row>11</xdr:row>
      <xdr:rowOff>342154</xdr:rowOff>
    </xdr:from>
    <xdr:to>
      <xdr:col>1</xdr:col>
      <xdr:colOff>426036</xdr:colOff>
      <xdr:row>12</xdr:row>
      <xdr:rowOff>327213</xdr:rowOff>
    </xdr:to>
    <xdr:sp macro="" textlink="">
      <xdr:nvSpPr>
        <xdr:cNvPr id="14" name="Retângulo: Cantos Arredondados 13">
          <a:hlinkClick xmlns:r="http://schemas.openxmlformats.org/officeDocument/2006/relationships" r:id="rId4" tooltip="*"/>
          <a:extLst>
            <a:ext uri="{FF2B5EF4-FFF2-40B4-BE49-F238E27FC236}">
              <a16:creationId xmlns:a16="http://schemas.microsoft.com/office/drawing/2014/main" id="{71C423A1-059D-445F-A449-92E8F2CCBDE2}"/>
            </a:ext>
          </a:extLst>
        </xdr:cNvPr>
        <xdr:cNvSpPr/>
      </xdr:nvSpPr>
      <xdr:spPr>
        <a:xfrm>
          <a:off x="252507" y="4587583"/>
          <a:ext cx="2341600" cy="556559"/>
        </a:xfrm>
        <a:prstGeom prst="roundRect">
          <a:avLst/>
        </a:prstGeom>
        <a:ln w="3175">
          <a:solidFill>
            <a:schemeClr val="tx2">
              <a:lumMod val="60000"/>
              <a:lumOff val="40000"/>
            </a:schemeClr>
          </a:solidFill>
        </a:ln>
        <a:effectLst>
          <a:outerShdw blurRad="40000" dist="20000" dir="5400000" rotWithShape="0">
            <a:srgbClr val="000000">
              <a:alpha val="38000"/>
            </a:srgbClr>
          </a:outerShdw>
          <a:softEdge rad="12700"/>
        </a:effectLst>
        <a:scene3d>
          <a:camera prst="orthographicFront"/>
          <a:lightRig rig="threePt" dir="t"/>
        </a:scene3d>
        <a:sp3d>
          <a:bevelT/>
        </a:sp3d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100" b="1">
              <a:solidFill>
                <a:schemeClr val="bg1">
                  <a:lumMod val="95000"/>
                </a:schemeClr>
              </a:solidFill>
              <a:latin typeface="Aptos Black" panose="020B0004020202020204" pitchFamily="34" charset="0"/>
            </a:rPr>
            <a:t>3-PREÇO POR M²</a:t>
          </a:r>
        </a:p>
      </xdr:txBody>
    </xdr:sp>
    <xdr:clientData/>
  </xdr:twoCellAnchor>
  <xdr:twoCellAnchor>
    <xdr:from>
      <xdr:col>1</xdr:col>
      <xdr:colOff>636497</xdr:colOff>
      <xdr:row>9</xdr:row>
      <xdr:rowOff>53788</xdr:rowOff>
    </xdr:from>
    <xdr:to>
      <xdr:col>2</xdr:col>
      <xdr:colOff>810027</xdr:colOff>
      <xdr:row>10</xdr:row>
      <xdr:rowOff>38848</xdr:rowOff>
    </xdr:to>
    <xdr:sp macro="" textlink="">
      <xdr:nvSpPr>
        <xdr:cNvPr id="15" name="Retângulo: Cantos Arredondados 14">
          <a:hlinkClick xmlns:r="http://schemas.openxmlformats.org/officeDocument/2006/relationships" r:id="rId5" tooltip="*"/>
          <a:extLst>
            <a:ext uri="{FF2B5EF4-FFF2-40B4-BE49-F238E27FC236}">
              <a16:creationId xmlns:a16="http://schemas.microsoft.com/office/drawing/2014/main" id="{91B85C91-FABE-4C3A-8574-DE029619E4B6}"/>
            </a:ext>
          </a:extLst>
        </xdr:cNvPr>
        <xdr:cNvSpPr/>
      </xdr:nvSpPr>
      <xdr:spPr>
        <a:xfrm>
          <a:off x="2804568" y="3156217"/>
          <a:ext cx="2341602" cy="556560"/>
        </a:xfrm>
        <a:prstGeom prst="roundRect">
          <a:avLst/>
        </a:prstGeom>
        <a:ln w="3175">
          <a:solidFill>
            <a:schemeClr val="tx2">
              <a:lumMod val="60000"/>
              <a:lumOff val="40000"/>
            </a:schemeClr>
          </a:solidFill>
        </a:ln>
        <a:effectLst>
          <a:outerShdw blurRad="40000" dist="20000" dir="5400000" rotWithShape="0">
            <a:srgbClr val="000000">
              <a:alpha val="38000"/>
            </a:srgbClr>
          </a:outerShdw>
          <a:softEdge rad="12700"/>
        </a:effectLst>
        <a:scene3d>
          <a:camera prst="orthographicFront"/>
          <a:lightRig rig="threePt" dir="t"/>
        </a:scene3d>
        <a:sp3d>
          <a:bevelT/>
        </a:sp3d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100" b="1">
              <a:solidFill>
                <a:schemeClr val="bg1">
                  <a:lumMod val="95000"/>
                </a:schemeClr>
              </a:solidFill>
              <a:latin typeface="Aptos Black" panose="020B0004020202020204" pitchFamily="34" charset="0"/>
            </a:rPr>
            <a:t>4a-CUSTOS SERVENTE AUX LIMPEZA</a:t>
          </a:r>
        </a:p>
      </xdr:txBody>
    </xdr:sp>
    <xdr:clientData/>
  </xdr:twoCellAnchor>
  <xdr:twoCellAnchor>
    <xdr:from>
      <xdr:col>1</xdr:col>
      <xdr:colOff>635000</xdr:colOff>
      <xdr:row>10</xdr:row>
      <xdr:rowOff>186764</xdr:rowOff>
    </xdr:from>
    <xdr:to>
      <xdr:col>2</xdr:col>
      <xdr:colOff>808530</xdr:colOff>
      <xdr:row>11</xdr:row>
      <xdr:rowOff>171823</xdr:rowOff>
    </xdr:to>
    <xdr:sp macro="" textlink="">
      <xdr:nvSpPr>
        <xdr:cNvPr id="16" name="Retângulo: Cantos Arredondados 15">
          <a:hlinkClick xmlns:r="http://schemas.openxmlformats.org/officeDocument/2006/relationships" r:id="rId6" tooltip="*"/>
          <a:extLst>
            <a:ext uri="{FF2B5EF4-FFF2-40B4-BE49-F238E27FC236}">
              <a16:creationId xmlns:a16="http://schemas.microsoft.com/office/drawing/2014/main" id="{82C6767D-895B-4A69-9E53-C3E9A4E48689}"/>
            </a:ext>
          </a:extLst>
        </xdr:cNvPr>
        <xdr:cNvSpPr/>
      </xdr:nvSpPr>
      <xdr:spPr>
        <a:xfrm>
          <a:off x="2803071" y="3860693"/>
          <a:ext cx="2341602" cy="556559"/>
        </a:xfrm>
        <a:prstGeom prst="roundRect">
          <a:avLst/>
        </a:prstGeom>
        <a:ln w="3175">
          <a:solidFill>
            <a:schemeClr val="tx2">
              <a:lumMod val="60000"/>
              <a:lumOff val="40000"/>
            </a:schemeClr>
          </a:solidFill>
        </a:ln>
        <a:effectLst>
          <a:outerShdw blurRad="40000" dist="20000" dir="5400000" rotWithShape="0">
            <a:srgbClr val="000000">
              <a:alpha val="38000"/>
            </a:srgbClr>
          </a:outerShdw>
          <a:softEdge rad="12700"/>
        </a:effectLst>
        <a:scene3d>
          <a:camera prst="orthographicFront"/>
          <a:lightRig rig="threePt" dir="t"/>
        </a:scene3d>
        <a:sp3d>
          <a:bevelT/>
        </a:sp3d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100" b="1">
              <a:solidFill>
                <a:schemeClr val="bg1">
                  <a:lumMod val="95000"/>
                </a:schemeClr>
              </a:solidFill>
              <a:latin typeface="Aptos Black" panose="020B0004020202020204" pitchFamily="34" charset="0"/>
            </a:rPr>
            <a:t>4b-CUSTOS AGENTE HIGIENIZAÇÂO</a:t>
          </a:r>
        </a:p>
      </xdr:txBody>
    </xdr:sp>
    <xdr:clientData/>
  </xdr:twoCellAnchor>
  <xdr:twoCellAnchor>
    <xdr:from>
      <xdr:col>1</xdr:col>
      <xdr:colOff>657411</xdr:colOff>
      <xdr:row>11</xdr:row>
      <xdr:rowOff>328705</xdr:rowOff>
    </xdr:from>
    <xdr:to>
      <xdr:col>2</xdr:col>
      <xdr:colOff>830941</xdr:colOff>
      <xdr:row>12</xdr:row>
      <xdr:rowOff>313764</xdr:rowOff>
    </xdr:to>
    <xdr:sp macro="" textlink="">
      <xdr:nvSpPr>
        <xdr:cNvPr id="17" name="Retângulo: Cantos Arredondados 16">
          <a:hlinkClick xmlns:r="http://schemas.openxmlformats.org/officeDocument/2006/relationships" r:id="rId7" tooltip="*"/>
          <a:extLst>
            <a:ext uri="{FF2B5EF4-FFF2-40B4-BE49-F238E27FC236}">
              <a16:creationId xmlns:a16="http://schemas.microsoft.com/office/drawing/2014/main" id="{B5843F23-F136-482B-8306-8B84F3050F69}"/>
            </a:ext>
          </a:extLst>
        </xdr:cNvPr>
        <xdr:cNvSpPr/>
      </xdr:nvSpPr>
      <xdr:spPr>
        <a:xfrm>
          <a:off x="2825482" y="4574134"/>
          <a:ext cx="2341602" cy="556559"/>
        </a:xfrm>
        <a:prstGeom prst="roundRect">
          <a:avLst/>
        </a:prstGeom>
        <a:ln w="3175">
          <a:solidFill>
            <a:schemeClr val="tx2">
              <a:lumMod val="60000"/>
              <a:lumOff val="40000"/>
            </a:schemeClr>
          </a:solidFill>
        </a:ln>
        <a:effectLst>
          <a:outerShdw blurRad="40000" dist="20000" dir="5400000" rotWithShape="0">
            <a:srgbClr val="000000">
              <a:alpha val="38000"/>
            </a:srgbClr>
          </a:outerShdw>
          <a:softEdge rad="12700"/>
        </a:effectLst>
        <a:scene3d>
          <a:camera prst="orthographicFront"/>
          <a:lightRig rig="threePt" dir="t"/>
        </a:scene3d>
        <a:sp3d>
          <a:bevelT/>
        </a:sp3d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100" b="1">
              <a:solidFill>
                <a:schemeClr val="bg1">
                  <a:lumMod val="95000"/>
                </a:schemeClr>
              </a:solidFill>
              <a:latin typeface="Aptos Black" panose="020B0004020202020204" pitchFamily="34" charset="0"/>
            </a:rPr>
            <a:t>4c - CUSTOS LIDER</a:t>
          </a:r>
        </a:p>
      </xdr:txBody>
    </xdr:sp>
    <xdr:clientData/>
  </xdr:twoCellAnchor>
  <xdr:twoCellAnchor>
    <xdr:from>
      <xdr:col>2</xdr:col>
      <xdr:colOff>993588</xdr:colOff>
      <xdr:row>9</xdr:row>
      <xdr:rowOff>52295</xdr:rowOff>
    </xdr:from>
    <xdr:to>
      <xdr:col>3</xdr:col>
      <xdr:colOff>1167117</xdr:colOff>
      <xdr:row>10</xdr:row>
      <xdr:rowOff>37353</xdr:rowOff>
    </xdr:to>
    <xdr:sp macro="" textlink="">
      <xdr:nvSpPr>
        <xdr:cNvPr id="18" name="Retângulo: Cantos Arredondados 17">
          <a:hlinkClick xmlns:r="http://schemas.openxmlformats.org/officeDocument/2006/relationships" r:id="rId8" tooltip="*"/>
          <a:extLst>
            <a:ext uri="{FF2B5EF4-FFF2-40B4-BE49-F238E27FC236}">
              <a16:creationId xmlns:a16="http://schemas.microsoft.com/office/drawing/2014/main" id="{FFDDFDC1-BE7B-451B-ABBA-E76424077BD9}"/>
            </a:ext>
          </a:extLst>
        </xdr:cNvPr>
        <xdr:cNvSpPr/>
      </xdr:nvSpPr>
      <xdr:spPr>
        <a:xfrm>
          <a:off x="5329731" y="3154724"/>
          <a:ext cx="2341600" cy="556558"/>
        </a:xfrm>
        <a:prstGeom prst="roundRect">
          <a:avLst/>
        </a:prstGeom>
        <a:ln w="3175">
          <a:solidFill>
            <a:schemeClr val="tx2">
              <a:lumMod val="60000"/>
              <a:lumOff val="40000"/>
            </a:schemeClr>
          </a:solidFill>
        </a:ln>
        <a:effectLst>
          <a:outerShdw blurRad="40000" dist="20000" dir="5400000" rotWithShape="0">
            <a:srgbClr val="000000">
              <a:alpha val="38000"/>
            </a:srgbClr>
          </a:outerShdw>
          <a:softEdge rad="12700"/>
        </a:effectLst>
        <a:scene3d>
          <a:camera prst="orthographicFront"/>
          <a:lightRig rig="threePt" dir="t"/>
        </a:scene3d>
        <a:sp3d>
          <a:bevelT/>
        </a:sp3d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100" b="1">
              <a:solidFill>
                <a:schemeClr val="bg1">
                  <a:lumMod val="95000"/>
                </a:schemeClr>
              </a:solidFill>
              <a:latin typeface="Aptos Black" panose="020B0004020202020204" pitchFamily="34" charset="0"/>
            </a:rPr>
            <a:t>4d-CUSTOS</a:t>
          </a:r>
          <a:r>
            <a:rPr lang="pt-BR" sz="1100" b="1" baseline="0">
              <a:solidFill>
                <a:schemeClr val="bg1">
                  <a:lumMod val="95000"/>
                </a:schemeClr>
              </a:solidFill>
              <a:latin typeface="Aptos Black" panose="020B0004020202020204" pitchFamily="34" charset="0"/>
            </a:rPr>
            <a:t> COPEIRA</a:t>
          </a:r>
          <a:endParaRPr lang="pt-BR" sz="1100" b="1">
            <a:solidFill>
              <a:schemeClr val="bg1">
                <a:lumMod val="95000"/>
              </a:schemeClr>
            </a:solidFill>
            <a:latin typeface="Aptos Black" panose="020B0004020202020204" pitchFamily="34" charset="0"/>
          </a:endParaRPr>
        </a:p>
      </xdr:txBody>
    </xdr:sp>
    <xdr:clientData/>
  </xdr:twoCellAnchor>
  <xdr:twoCellAnchor>
    <xdr:from>
      <xdr:col>2</xdr:col>
      <xdr:colOff>1008527</xdr:colOff>
      <xdr:row>10</xdr:row>
      <xdr:rowOff>201706</xdr:rowOff>
    </xdr:from>
    <xdr:to>
      <xdr:col>3</xdr:col>
      <xdr:colOff>1182056</xdr:colOff>
      <xdr:row>11</xdr:row>
      <xdr:rowOff>186765</xdr:rowOff>
    </xdr:to>
    <xdr:sp macro="" textlink="">
      <xdr:nvSpPr>
        <xdr:cNvPr id="19" name="Retângulo: Cantos Arredondados 18">
          <a:hlinkClick xmlns:r="http://schemas.openxmlformats.org/officeDocument/2006/relationships" r:id="rId9" tooltip="*"/>
          <a:extLst>
            <a:ext uri="{FF2B5EF4-FFF2-40B4-BE49-F238E27FC236}">
              <a16:creationId xmlns:a16="http://schemas.microsoft.com/office/drawing/2014/main" id="{29189F15-DAF0-4652-B507-AF632C69CF7A}"/>
            </a:ext>
          </a:extLst>
        </xdr:cNvPr>
        <xdr:cNvSpPr/>
      </xdr:nvSpPr>
      <xdr:spPr>
        <a:xfrm>
          <a:off x="5344670" y="3875635"/>
          <a:ext cx="2341600" cy="556559"/>
        </a:xfrm>
        <a:prstGeom prst="roundRect">
          <a:avLst/>
        </a:prstGeom>
        <a:ln w="3175">
          <a:solidFill>
            <a:schemeClr val="tx2">
              <a:lumMod val="60000"/>
              <a:lumOff val="40000"/>
            </a:schemeClr>
          </a:solidFill>
        </a:ln>
        <a:effectLst>
          <a:outerShdw blurRad="40000" dist="20000" dir="5400000" rotWithShape="0">
            <a:srgbClr val="000000">
              <a:alpha val="38000"/>
            </a:srgbClr>
          </a:outerShdw>
          <a:softEdge rad="12700"/>
        </a:effectLst>
        <a:scene3d>
          <a:camera prst="orthographicFront"/>
          <a:lightRig rig="threePt" dir="t"/>
        </a:scene3d>
        <a:sp3d>
          <a:bevelT/>
        </a:sp3d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100" b="1">
              <a:solidFill>
                <a:schemeClr val="bg1">
                  <a:lumMod val="95000"/>
                </a:schemeClr>
              </a:solidFill>
              <a:latin typeface="Aptos Black" panose="020B0004020202020204" pitchFamily="34" charset="0"/>
            </a:rPr>
            <a:t>5-BENEFICIOS</a:t>
          </a:r>
        </a:p>
      </xdr:txBody>
    </xdr:sp>
    <xdr:clientData/>
  </xdr:twoCellAnchor>
  <xdr:twoCellAnchor>
    <xdr:from>
      <xdr:col>2</xdr:col>
      <xdr:colOff>1016001</xdr:colOff>
      <xdr:row>11</xdr:row>
      <xdr:rowOff>328706</xdr:rowOff>
    </xdr:from>
    <xdr:to>
      <xdr:col>3</xdr:col>
      <xdr:colOff>1189530</xdr:colOff>
      <xdr:row>12</xdr:row>
      <xdr:rowOff>313765</xdr:rowOff>
    </xdr:to>
    <xdr:sp macro="" textlink="">
      <xdr:nvSpPr>
        <xdr:cNvPr id="20" name="Retângulo: Cantos Arredondados 19">
          <a:hlinkClick xmlns:r="http://schemas.openxmlformats.org/officeDocument/2006/relationships" r:id="rId10" tooltip="*"/>
          <a:extLst>
            <a:ext uri="{FF2B5EF4-FFF2-40B4-BE49-F238E27FC236}">
              <a16:creationId xmlns:a16="http://schemas.microsoft.com/office/drawing/2014/main" id="{C276F581-FF5E-4296-B9DE-EC280AC6FDEF}"/>
            </a:ext>
          </a:extLst>
        </xdr:cNvPr>
        <xdr:cNvSpPr/>
      </xdr:nvSpPr>
      <xdr:spPr>
        <a:xfrm>
          <a:off x="5352144" y="4574135"/>
          <a:ext cx="2341600" cy="556559"/>
        </a:xfrm>
        <a:prstGeom prst="roundRect">
          <a:avLst/>
        </a:prstGeom>
        <a:ln w="3175">
          <a:solidFill>
            <a:schemeClr val="tx2">
              <a:lumMod val="60000"/>
              <a:lumOff val="40000"/>
            </a:schemeClr>
          </a:solidFill>
        </a:ln>
        <a:effectLst>
          <a:outerShdw blurRad="40000" dist="20000" dir="5400000" rotWithShape="0">
            <a:srgbClr val="000000">
              <a:alpha val="38000"/>
            </a:srgbClr>
          </a:outerShdw>
          <a:softEdge rad="12700"/>
        </a:effectLst>
        <a:scene3d>
          <a:camera prst="orthographicFront"/>
          <a:lightRig rig="threePt" dir="t"/>
        </a:scene3d>
        <a:sp3d>
          <a:bevelT/>
        </a:sp3d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100" b="1">
              <a:solidFill>
                <a:schemeClr val="bg1">
                  <a:lumMod val="95000"/>
                </a:schemeClr>
              </a:solidFill>
              <a:latin typeface="Aptos Black" panose="020B0004020202020204" pitchFamily="34" charset="0"/>
            </a:rPr>
            <a:t>6-CUSTOS UNIFORMES</a:t>
          </a:r>
        </a:p>
      </xdr:txBody>
    </xdr:sp>
    <xdr:clientData/>
  </xdr:twoCellAnchor>
  <xdr:twoCellAnchor>
    <xdr:from>
      <xdr:col>3</xdr:col>
      <xdr:colOff>1359645</xdr:colOff>
      <xdr:row>9</xdr:row>
      <xdr:rowOff>52292</xdr:rowOff>
    </xdr:from>
    <xdr:to>
      <xdr:col>4</xdr:col>
      <xdr:colOff>1533175</xdr:colOff>
      <xdr:row>10</xdr:row>
      <xdr:rowOff>37351</xdr:rowOff>
    </xdr:to>
    <xdr:sp macro="" textlink="">
      <xdr:nvSpPr>
        <xdr:cNvPr id="21" name="Retângulo: Cantos Arredondados 20">
          <a:hlinkClick xmlns:r="http://schemas.openxmlformats.org/officeDocument/2006/relationships" r:id="rId11" tooltip="*"/>
          <a:extLst>
            <a:ext uri="{FF2B5EF4-FFF2-40B4-BE49-F238E27FC236}">
              <a16:creationId xmlns:a16="http://schemas.microsoft.com/office/drawing/2014/main" id="{00C0CC9F-1FB8-4FAA-896C-9D733A774E21}"/>
            </a:ext>
          </a:extLst>
        </xdr:cNvPr>
        <xdr:cNvSpPr/>
      </xdr:nvSpPr>
      <xdr:spPr>
        <a:xfrm>
          <a:off x="7863859" y="3154721"/>
          <a:ext cx="2341602" cy="556559"/>
        </a:xfrm>
        <a:prstGeom prst="roundRect">
          <a:avLst/>
        </a:prstGeom>
        <a:ln w="3175">
          <a:solidFill>
            <a:schemeClr val="tx2">
              <a:lumMod val="60000"/>
              <a:lumOff val="40000"/>
            </a:schemeClr>
          </a:solidFill>
        </a:ln>
        <a:effectLst>
          <a:outerShdw blurRad="40000" dist="20000" dir="5400000" rotWithShape="0">
            <a:srgbClr val="000000">
              <a:alpha val="38000"/>
            </a:srgbClr>
          </a:outerShdw>
          <a:softEdge rad="12700"/>
        </a:effectLst>
        <a:scene3d>
          <a:camera prst="orthographicFront"/>
          <a:lightRig rig="threePt" dir="t"/>
        </a:scene3d>
        <a:sp3d>
          <a:bevelT/>
        </a:sp3d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100" b="1">
              <a:solidFill>
                <a:schemeClr val="bg1">
                  <a:lumMod val="95000"/>
                </a:schemeClr>
              </a:solidFill>
              <a:latin typeface="Aptos Black" panose="020B0004020202020204" pitchFamily="34" charset="0"/>
            </a:rPr>
            <a:t>7-CUSTOS MATERIAIS E EQUIP.</a:t>
          </a:r>
        </a:p>
      </xdr:txBody>
    </xdr:sp>
    <xdr:clientData/>
  </xdr:twoCellAnchor>
  <xdr:twoCellAnchor>
    <xdr:from>
      <xdr:col>3</xdr:col>
      <xdr:colOff>1359647</xdr:colOff>
      <xdr:row>10</xdr:row>
      <xdr:rowOff>179296</xdr:rowOff>
    </xdr:from>
    <xdr:to>
      <xdr:col>4</xdr:col>
      <xdr:colOff>1533177</xdr:colOff>
      <xdr:row>11</xdr:row>
      <xdr:rowOff>164355</xdr:rowOff>
    </xdr:to>
    <xdr:sp macro="" textlink="">
      <xdr:nvSpPr>
        <xdr:cNvPr id="22" name="Retângulo: Cantos Arredondados 21">
          <a:hlinkClick xmlns:r="http://schemas.openxmlformats.org/officeDocument/2006/relationships" r:id="rId12" tooltip="*"/>
          <a:extLst>
            <a:ext uri="{FF2B5EF4-FFF2-40B4-BE49-F238E27FC236}">
              <a16:creationId xmlns:a16="http://schemas.microsoft.com/office/drawing/2014/main" id="{070E6F54-F49D-43EA-9C61-EA92559E07DB}"/>
            </a:ext>
          </a:extLst>
        </xdr:cNvPr>
        <xdr:cNvSpPr/>
      </xdr:nvSpPr>
      <xdr:spPr>
        <a:xfrm>
          <a:off x="7863861" y="3853225"/>
          <a:ext cx="2341602" cy="556559"/>
        </a:xfrm>
        <a:prstGeom prst="roundRect">
          <a:avLst/>
        </a:prstGeom>
        <a:ln w="3175">
          <a:solidFill>
            <a:schemeClr val="tx2">
              <a:lumMod val="60000"/>
              <a:lumOff val="40000"/>
            </a:schemeClr>
          </a:solidFill>
        </a:ln>
        <a:effectLst>
          <a:outerShdw blurRad="40000" dist="20000" dir="5400000" rotWithShape="0">
            <a:srgbClr val="000000">
              <a:alpha val="38000"/>
            </a:srgbClr>
          </a:outerShdw>
          <a:softEdge rad="12700"/>
        </a:effectLst>
        <a:scene3d>
          <a:camera prst="orthographicFront"/>
          <a:lightRig rig="threePt" dir="t"/>
        </a:scene3d>
        <a:sp3d>
          <a:bevelT/>
        </a:sp3d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100" b="1">
              <a:solidFill>
                <a:schemeClr val="bg1">
                  <a:lumMod val="95000"/>
                </a:schemeClr>
              </a:solidFill>
              <a:latin typeface="Aptos Black" panose="020B0004020202020204" pitchFamily="34" charset="0"/>
            </a:rPr>
            <a:t>8-CUSTO LAVAGEM RESERVATÓRIOS</a:t>
          </a:r>
        </a:p>
      </xdr:txBody>
    </xdr:sp>
    <xdr:clientData/>
  </xdr:twoCellAnchor>
  <xdr:twoCellAnchor>
    <xdr:from>
      <xdr:col>3</xdr:col>
      <xdr:colOff>1389529</xdr:colOff>
      <xdr:row>11</xdr:row>
      <xdr:rowOff>343647</xdr:rowOff>
    </xdr:from>
    <xdr:to>
      <xdr:col>4</xdr:col>
      <xdr:colOff>1563059</xdr:colOff>
      <xdr:row>12</xdr:row>
      <xdr:rowOff>328706</xdr:rowOff>
    </xdr:to>
    <xdr:sp macro="" textlink="">
      <xdr:nvSpPr>
        <xdr:cNvPr id="23" name="Retângulo: Cantos Arredondados 22">
          <a:hlinkClick xmlns:r="http://schemas.openxmlformats.org/officeDocument/2006/relationships" r:id="rId13" tooltip="*"/>
          <a:extLst>
            <a:ext uri="{FF2B5EF4-FFF2-40B4-BE49-F238E27FC236}">
              <a16:creationId xmlns:a16="http://schemas.microsoft.com/office/drawing/2014/main" id="{AB57F37D-32CD-4C35-BECA-2A4225C1D333}"/>
            </a:ext>
          </a:extLst>
        </xdr:cNvPr>
        <xdr:cNvSpPr/>
      </xdr:nvSpPr>
      <xdr:spPr>
        <a:xfrm>
          <a:off x="7893743" y="4589076"/>
          <a:ext cx="2341602" cy="556559"/>
        </a:xfrm>
        <a:prstGeom prst="roundRect">
          <a:avLst/>
        </a:prstGeom>
        <a:ln w="3175">
          <a:solidFill>
            <a:schemeClr val="tx2">
              <a:lumMod val="60000"/>
              <a:lumOff val="40000"/>
            </a:schemeClr>
          </a:solidFill>
        </a:ln>
        <a:effectLst>
          <a:outerShdw blurRad="40000" dist="20000" dir="5400000" rotWithShape="0">
            <a:srgbClr val="000000">
              <a:alpha val="38000"/>
            </a:srgbClr>
          </a:outerShdw>
          <a:softEdge rad="12700"/>
        </a:effectLst>
        <a:scene3d>
          <a:camera prst="orthographicFront"/>
          <a:lightRig rig="threePt" dir="t"/>
        </a:scene3d>
        <a:sp3d>
          <a:bevelT/>
        </a:sp3d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100" b="1">
              <a:solidFill>
                <a:schemeClr val="bg1">
                  <a:lumMod val="95000"/>
                </a:schemeClr>
              </a:solidFill>
              <a:latin typeface="Aptos Black" panose="020B0004020202020204" pitchFamily="34" charset="0"/>
            </a:rPr>
            <a:t>9-CUSTOS CONTROLE PRAGAS</a:t>
          </a:r>
        </a:p>
      </xdr:txBody>
    </xdr:sp>
    <xdr:clientData/>
  </xdr:twoCellAnchor>
  <xdr:twoCellAnchor>
    <xdr:from>
      <xdr:col>4</xdr:col>
      <xdr:colOff>1658470</xdr:colOff>
      <xdr:row>9</xdr:row>
      <xdr:rowOff>52295</xdr:rowOff>
    </xdr:from>
    <xdr:to>
      <xdr:col>5</xdr:col>
      <xdr:colOff>1831999</xdr:colOff>
      <xdr:row>10</xdr:row>
      <xdr:rowOff>37354</xdr:rowOff>
    </xdr:to>
    <xdr:sp macro="" textlink="">
      <xdr:nvSpPr>
        <xdr:cNvPr id="24" name="Retângulo: Cantos Arredondados 23">
          <a:hlinkClick xmlns:r="http://schemas.openxmlformats.org/officeDocument/2006/relationships" r:id="rId14" tooltip="*"/>
          <a:extLst>
            <a:ext uri="{FF2B5EF4-FFF2-40B4-BE49-F238E27FC236}">
              <a16:creationId xmlns:a16="http://schemas.microsoft.com/office/drawing/2014/main" id="{7006174B-8547-4B63-8C26-A1C60FCEF7A6}"/>
            </a:ext>
          </a:extLst>
        </xdr:cNvPr>
        <xdr:cNvSpPr/>
      </xdr:nvSpPr>
      <xdr:spPr>
        <a:xfrm>
          <a:off x="10330756" y="3154724"/>
          <a:ext cx="2341600" cy="556559"/>
        </a:xfrm>
        <a:prstGeom prst="roundRect">
          <a:avLst/>
        </a:prstGeom>
        <a:ln w="3175">
          <a:solidFill>
            <a:schemeClr val="tx2">
              <a:lumMod val="60000"/>
              <a:lumOff val="40000"/>
            </a:schemeClr>
          </a:solidFill>
        </a:ln>
        <a:effectLst>
          <a:outerShdw blurRad="40000" dist="20000" dir="5400000" rotWithShape="0">
            <a:srgbClr val="000000">
              <a:alpha val="38000"/>
            </a:srgbClr>
          </a:outerShdw>
          <a:softEdge rad="12700"/>
        </a:effectLst>
        <a:scene3d>
          <a:camera prst="orthographicFront"/>
          <a:lightRig rig="threePt" dir="t"/>
        </a:scene3d>
        <a:sp3d>
          <a:bevelT/>
        </a:sp3d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100" b="1">
              <a:solidFill>
                <a:schemeClr val="bg1">
                  <a:lumMod val="95000"/>
                </a:schemeClr>
              </a:solidFill>
              <a:latin typeface="Aptos Black" panose="020B0004020202020204" pitchFamily="34" charset="0"/>
            </a:rPr>
            <a:t>10-CONT.</a:t>
          </a:r>
          <a:r>
            <a:rPr lang="pt-BR" sz="1100" b="1" baseline="0">
              <a:solidFill>
                <a:schemeClr val="bg1">
                  <a:lumMod val="95000"/>
                </a:schemeClr>
              </a:solidFill>
              <a:latin typeface="Aptos Black" panose="020B0004020202020204" pitchFamily="34" charset="0"/>
            </a:rPr>
            <a:t> TRABALHISTA</a:t>
          </a:r>
          <a:endParaRPr lang="pt-BR" sz="1100" b="1">
            <a:solidFill>
              <a:schemeClr val="bg1">
                <a:lumMod val="95000"/>
              </a:schemeClr>
            </a:solidFill>
            <a:latin typeface="Aptos Black" panose="020B0004020202020204" pitchFamily="34" charset="0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159026</xdr:colOff>
      <xdr:row>0</xdr:row>
      <xdr:rowOff>0</xdr:rowOff>
    </xdr:from>
    <xdr:to>
      <xdr:col>1</xdr:col>
      <xdr:colOff>684144</xdr:colOff>
      <xdr:row>0</xdr:row>
      <xdr:rowOff>922544</xdr:rowOff>
    </xdr:to>
    <xdr:pic>
      <xdr:nvPicPr>
        <xdr:cNvPr id="2" name="Imagem 1" descr="Brasão timbrado CFQ">
          <a:extLst>
            <a:ext uri="{FF2B5EF4-FFF2-40B4-BE49-F238E27FC236}">
              <a16:creationId xmlns:a16="http://schemas.microsoft.com/office/drawing/2014/main" id="{48A990EC-3D06-43AA-9015-4BD6A93EA1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026" y="0"/>
          <a:ext cx="929209" cy="919369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6</xdr:col>
      <xdr:colOff>159871</xdr:colOff>
      <xdr:row>0</xdr:row>
      <xdr:rowOff>0</xdr:rowOff>
    </xdr:from>
    <xdr:to>
      <xdr:col>7</xdr:col>
      <xdr:colOff>85164</xdr:colOff>
      <xdr:row>0</xdr:row>
      <xdr:rowOff>293128</xdr:rowOff>
    </xdr:to>
    <xdr:sp macro="" textlink="">
      <xdr:nvSpPr>
        <xdr:cNvPr id="3" name="Retângulo: Cantos Arredondados 2">
          <a:hlinkClick xmlns:r="http://schemas.openxmlformats.org/officeDocument/2006/relationships" r:id="rId2" tooltip="Voltar ao índice"/>
          <a:extLst>
            <a:ext uri="{FF2B5EF4-FFF2-40B4-BE49-F238E27FC236}">
              <a16:creationId xmlns:a16="http://schemas.microsoft.com/office/drawing/2014/main" id="{1D7DF6DF-5FDC-4BCD-8413-BA32F5166138}"/>
            </a:ext>
          </a:extLst>
        </xdr:cNvPr>
        <xdr:cNvSpPr/>
      </xdr:nvSpPr>
      <xdr:spPr>
        <a:xfrm>
          <a:off x="12859871" y="0"/>
          <a:ext cx="566643" cy="293128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800" b="1" i="0"/>
            <a:t>VOLTAR</a:t>
          </a:r>
        </a:p>
      </xdr:txBody>
    </xdr:sp>
    <xdr:clientData fPrint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130451</xdr:colOff>
      <xdr:row>0</xdr:row>
      <xdr:rowOff>85725</xdr:rowOff>
    </xdr:from>
    <xdr:to>
      <xdr:col>2</xdr:col>
      <xdr:colOff>658744</xdr:colOff>
      <xdr:row>0</xdr:row>
      <xdr:rowOff>1001919</xdr:rowOff>
    </xdr:to>
    <xdr:pic>
      <xdr:nvPicPr>
        <xdr:cNvPr id="2" name="Imagem 1" descr="Brasão timbrado CFQ">
          <a:extLst>
            <a:ext uri="{FF2B5EF4-FFF2-40B4-BE49-F238E27FC236}">
              <a16:creationId xmlns:a16="http://schemas.microsoft.com/office/drawing/2014/main" id="{CE53FB80-B7E2-4A24-BB10-A3F2E1D7AA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201" y="85725"/>
          <a:ext cx="931518" cy="919369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7</xdr:col>
      <xdr:colOff>81643</xdr:colOff>
      <xdr:row>0</xdr:row>
      <xdr:rowOff>45357</xdr:rowOff>
    </xdr:from>
    <xdr:to>
      <xdr:col>7</xdr:col>
      <xdr:colOff>649407</xdr:colOff>
      <xdr:row>0</xdr:row>
      <xdr:rowOff>339979</xdr:rowOff>
    </xdr:to>
    <xdr:sp macro="" textlink="">
      <xdr:nvSpPr>
        <xdr:cNvPr id="3" name="Retângulo: Cantos Arredondados 2">
          <a:hlinkClick xmlns:r="http://schemas.openxmlformats.org/officeDocument/2006/relationships" r:id="rId2" tooltip="Voltar ao índice"/>
          <a:extLst>
            <a:ext uri="{FF2B5EF4-FFF2-40B4-BE49-F238E27FC236}">
              <a16:creationId xmlns:a16="http://schemas.microsoft.com/office/drawing/2014/main" id="{487E0BE9-AB9E-45AA-BFBF-ADF2A2F31A43}"/>
            </a:ext>
          </a:extLst>
        </xdr:cNvPr>
        <xdr:cNvSpPr/>
      </xdr:nvSpPr>
      <xdr:spPr>
        <a:xfrm>
          <a:off x="10553700" y="45357"/>
          <a:ext cx="567764" cy="294622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800" b="1" i="0"/>
            <a:t>VOLTAR</a:t>
          </a:r>
        </a:p>
      </xdr:txBody>
    </xdr:sp>
    <xdr:clientData fPrint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130451</xdr:colOff>
      <xdr:row>0</xdr:row>
      <xdr:rowOff>85725</xdr:rowOff>
    </xdr:from>
    <xdr:to>
      <xdr:col>2</xdr:col>
      <xdr:colOff>658744</xdr:colOff>
      <xdr:row>0</xdr:row>
      <xdr:rowOff>1001919</xdr:rowOff>
    </xdr:to>
    <xdr:pic>
      <xdr:nvPicPr>
        <xdr:cNvPr id="2" name="Imagem 1" descr="Brasão timbrado CFQ">
          <a:extLst>
            <a:ext uri="{FF2B5EF4-FFF2-40B4-BE49-F238E27FC236}">
              <a16:creationId xmlns:a16="http://schemas.microsoft.com/office/drawing/2014/main" id="{ECF5B4DD-9103-4D1E-8458-4149F82D8A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026" y="82550"/>
          <a:ext cx="934693" cy="916194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6</xdr:col>
      <xdr:colOff>119529</xdr:colOff>
      <xdr:row>0</xdr:row>
      <xdr:rowOff>112059</xdr:rowOff>
    </xdr:from>
    <xdr:to>
      <xdr:col>6</xdr:col>
      <xdr:colOff>687293</xdr:colOff>
      <xdr:row>0</xdr:row>
      <xdr:rowOff>406681</xdr:rowOff>
    </xdr:to>
    <xdr:sp macro="" textlink="">
      <xdr:nvSpPr>
        <xdr:cNvPr id="3" name="Retângulo: Cantos Arredondados 2">
          <a:hlinkClick xmlns:r="http://schemas.openxmlformats.org/officeDocument/2006/relationships" r:id="rId2" tooltip="Voltar ao índice"/>
          <a:extLst>
            <a:ext uri="{FF2B5EF4-FFF2-40B4-BE49-F238E27FC236}">
              <a16:creationId xmlns:a16="http://schemas.microsoft.com/office/drawing/2014/main" id="{72BA6A59-3E50-411B-AAAA-E0A9CEE0BF68}"/>
            </a:ext>
          </a:extLst>
        </xdr:cNvPr>
        <xdr:cNvSpPr/>
      </xdr:nvSpPr>
      <xdr:spPr>
        <a:xfrm>
          <a:off x="10600764" y="112059"/>
          <a:ext cx="567764" cy="294622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800" b="1" i="0"/>
            <a:t>VOLTAR</a:t>
          </a:r>
        </a:p>
      </xdr:txBody>
    </xdr:sp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130451</xdr:colOff>
      <xdr:row>0</xdr:row>
      <xdr:rowOff>85725</xdr:rowOff>
    </xdr:from>
    <xdr:to>
      <xdr:col>2</xdr:col>
      <xdr:colOff>658744</xdr:colOff>
      <xdr:row>0</xdr:row>
      <xdr:rowOff>1001919</xdr:rowOff>
    </xdr:to>
    <xdr:pic>
      <xdr:nvPicPr>
        <xdr:cNvPr id="2" name="Imagem 1" descr="Brasão timbrado CFQ">
          <a:extLst>
            <a:ext uri="{FF2B5EF4-FFF2-40B4-BE49-F238E27FC236}">
              <a16:creationId xmlns:a16="http://schemas.microsoft.com/office/drawing/2014/main" id="{3C055B6B-9DAE-4A81-824E-B3BA2C9AAA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201" y="85725"/>
          <a:ext cx="934693" cy="916194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6</xdr:col>
      <xdr:colOff>57150</xdr:colOff>
      <xdr:row>0</xdr:row>
      <xdr:rowOff>19050</xdr:rowOff>
    </xdr:from>
    <xdr:to>
      <xdr:col>6</xdr:col>
      <xdr:colOff>624914</xdr:colOff>
      <xdr:row>0</xdr:row>
      <xdr:rowOff>313672</xdr:rowOff>
    </xdr:to>
    <xdr:sp macro="" textlink="">
      <xdr:nvSpPr>
        <xdr:cNvPr id="3" name="Retângulo: Cantos Arredondados 2">
          <a:hlinkClick xmlns:r="http://schemas.openxmlformats.org/officeDocument/2006/relationships" r:id="rId2" tooltip="Voltar ao índice"/>
          <a:extLst>
            <a:ext uri="{FF2B5EF4-FFF2-40B4-BE49-F238E27FC236}">
              <a16:creationId xmlns:a16="http://schemas.microsoft.com/office/drawing/2014/main" id="{B761A144-A050-452A-B4F1-89C3D3461363}"/>
            </a:ext>
          </a:extLst>
        </xdr:cNvPr>
        <xdr:cNvSpPr/>
      </xdr:nvSpPr>
      <xdr:spPr>
        <a:xfrm>
          <a:off x="10547350" y="19050"/>
          <a:ext cx="567764" cy="294622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800" b="1" i="0"/>
            <a:t>VOLTAR</a:t>
          </a:r>
        </a:p>
      </xdr:txBody>
    </xdr:sp>
    <xdr:clientData fPrintsWithSheet="0"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82826</xdr:colOff>
      <xdr:row>0</xdr:row>
      <xdr:rowOff>142875</xdr:rowOff>
    </xdr:from>
    <xdr:to>
      <xdr:col>2</xdr:col>
      <xdr:colOff>388869</xdr:colOff>
      <xdr:row>0</xdr:row>
      <xdr:rowOff>1062244</xdr:rowOff>
    </xdr:to>
    <xdr:pic>
      <xdr:nvPicPr>
        <xdr:cNvPr id="2" name="Imagem 1" descr="Brasão timbrado CFQ">
          <a:extLst>
            <a:ext uri="{FF2B5EF4-FFF2-40B4-BE49-F238E27FC236}">
              <a16:creationId xmlns:a16="http://schemas.microsoft.com/office/drawing/2014/main" id="{69A1EC4D-6138-4B36-A923-A3E338832C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576" y="142875"/>
          <a:ext cx="947393" cy="919369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6</xdr:col>
      <xdr:colOff>74706</xdr:colOff>
      <xdr:row>0</xdr:row>
      <xdr:rowOff>37353</xdr:rowOff>
    </xdr:from>
    <xdr:to>
      <xdr:col>6</xdr:col>
      <xdr:colOff>634850</xdr:colOff>
      <xdr:row>0</xdr:row>
      <xdr:rowOff>331975</xdr:rowOff>
    </xdr:to>
    <xdr:sp macro="" textlink="">
      <xdr:nvSpPr>
        <xdr:cNvPr id="3" name="Retângulo: Cantos Arredondados 2">
          <a:hlinkClick xmlns:r="http://schemas.openxmlformats.org/officeDocument/2006/relationships" r:id="rId2" tooltip="Voltar ao índice"/>
          <a:extLst>
            <a:ext uri="{FF2B5EF4-FFF2-40B4-BE49-F238E27FC236}">
              <a16:creationId xmlns:a16="http://schemas.microsoft.com/office/drawing/2014/main" id="{43400F6A-CF54-474C-907B-95DD409550F2}"/>
            </a:ext>
          </a:extLst>
        </xdr:cNvPr>
        <xdr:cNvSpPr/>
      </xdr:nvSpPr>
      <xdr:spPr>
        <a:xfrm>
          <a:off x="11116235" y="37353"/>
          <a:ext cx="567764" cy="294622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800" b="1" i="0"/>
            <a:t>VOLTAR</a:t>
          </a: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9</xdr:col>
      <xdr:colOff>1335244</xdr:colOff>
      <xdr:row>1</xdr:row>
      <xdr:rowOff>54285</xdr:rowOff>
    </xdr:from>
    <xdr:to>
      <xdr:col>11</xdr:col>
      <xdr:colOff>158874</xdr:colOff>
      <xdr:row>2</xdr:row>
      <xdr:rowOff>147201</xdr:rowOff>
    </xdr:to>
    <xdr:sp macro="" textlink="">
      <xdr:nvSpPr>
        <xdr:cNvPr id="2" name="Retângulo: Cantos Arredondados 1">
          <a:hlinkClick xmlns:r="http://schemas.openxmlformats.org/officeDocument/2006/relationships" r:id="rId1" tooltip="Voltar ao índice"/>
          <a:extLst>
            <a:ext uri="{FF2B5EF4-FFF2-40B4-BE49-F238E27FC236}">
              <a16:creationId xmlns:a16="http://schemas.microsoft.com/office/drawing/2014/main" id="{4820A30A-36A1-4FBE-A84C-B546BACAA231}"/>
            </a:ext>
          </a:extLst>
        </xdr:cNvPr>
        <xdr:cNvSpPr/>
      </xdr:nvSpPr>
      <xdr:spPr>
        <a:xfrm>
          <a:off x="11893177" y="105085"/>
          <a:ext cx="559297" cy="287649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800" b="1" i="0"/>
            <a:t>VOLTAR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381650</xdr:colOff>
      <xdr:row>0</xdr:row>
      <xdr:rowOff>74706</xdr:rowOff>
    </xdr:from>
    <xdr:to>
      <xdr:col>1</xdr:col>
      <xdr:colOff>1180354</xdr:colOff>
      <xdr:row>0</xdr:row>
      <xdr:rowOff>852303</xdr:rowOff>
    </xdr:to>
    <xdr:pic>
      <xdr:nvPicPr>
        <xdr:cNvPr id="2" name="Imagem 1" descr="Brasão timbrado CFQ">
          <a:extLst>
            <a:ext uri="{FF2B5EF4-FFF2-40B4-BE49-F238E27FC236}">
              <a16:creationId xmlns:a16="http://schemas.microsoft.com/office/drawing/2014/main" id="{1FAE8FB0-79B4-49BB-9D6B-3CABB1636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944" y="74706"/>
          <a:ext cx="798704" cy="777597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11</xdr:col>
      <xdr:colOff>16934</xdr:colOff>
      <xdr:row>0</xdr:row>
      <xdr:rowOff>76200</xdr:rowOff>
    </xdr:from>
    <xdr:to>
      <xdr:col>11</xdr:col>
      <xdr:colOff>584698</xdr:colOff>
      <xdr:row>0</xdr:row>
      <xdr:rowOff>370822</xdr:rowOff>
    </xdr:to>
    <xdr:sp macro="" textlink="">
      <xdr:nvSpPr>
        <xdr:cNvPr id="3" name="Retângulo: Cantos Arredondados 2">
          <a:hlinkClick xmlns:r="http://schemas.openxmlformats.org/officeDocument/2006/relationships" r:id="rId2" tooltip="Voltar ao índice"/>
          <a:extLst>
            <a:ext uri="{FF2B5EF4-FFF2-40B4-BE49-F238E27FC236}">
              <a16:creationId xmlns:a16="http://schemas.microsoft.com/office/drawing/2014/main" id="{3258E254-289A-4DEB-92AC-1FB7CDEA224D}"/>
            </a:ext>
          </a:extLst>
        </xdr:cNvPr>
        <xdr:cNvSpPr/>
      </xdr:nvSpPr>
      <xdr:spPr>
        <a:xfrm>
          <a:off x="14884401" y="76200"/>
          <a:ext cx="567764" cy="294622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800" b="1" i="0"/>
            <a:t>VOLTAR</a:t>
          </a:r>
        </a:p>
      </xdr:txBody>
    </xdr: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245906</xdr:colOff>
      <xdr:row>0</xdr:row>
      <xdr:rowOff>27998</xdr:rowOff>
    </xdr:from>
    <xdr:to>
      <xdr:col>1</xdr:col>
      <xdr:colOff>1161549</xdr:colOff>
      <xdr:row>0</xdr:row>
      <xdr:rowOff>941017</xdr:rowOff>
    </xdr:to>
    <xdr:pic>
      <xdr:nvPicPr>
        <xdr:cNvPr id="2" name="Imagem 1" descr="Brasão timbrado CFQ">
          <a:extLst>
            <a:ext uri="{FF2B5EF4-FFF2-40B4-BE49-F238E27FC236}">
              <a16:creationId xmlns:a16="http://schemas.microsoft.com/office/drawing/2014/main" id="{1C497647-DB1C-4D9A-A7B3-428CABF33E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906" y="27998"/>
          <a:ext cx="915643" cy="913019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5</xdr:col>
      <xdr:colOff>72572</xdr:colOff>
      <xdr:row>0</xdr:row>
      <xdr:rowOff>54429</xdr:rowOff>
    </xdr:from>
    <xdr:to>
      <xdr:col>5</xdr:col>
      <xdr:colOff>640336</xdr:colOff>
      <xdr:row>0</xdr:row>
      <xdr:rowOff>349051</xdr:rowOff>
    </xdr:to>
    <xdr:sp macro="" textlink="">
      <xdr:nvSpPr>
        <xdr:cNvPr id="4" name="Retângulo: Cantos Arredondados 3">
          <a:hlinkClick xmlns:r="http://schemas.openxmlformats.org/officeDocument/2006/relationships" r:id="rId2" tooltip="Voltar ao índice"/>
          <a:extLst>
            <a:ext uri="{FF2B5EF4-FFF2-40B4-BE49-F238E27FC236}">
              <a16:creationId xmlns:a16="http://schemas.microsoft.com/office/drawing/2014/main" id="{0C7EC147-CC74-4671-9A4D-63A3249A3DEE}"/>
            </a:ext>
          </a:extLst>
        </xdr:cNvPr>
        <xdr:cNvSpPr/>
      </xdr:nvSpPr>
      <xdr:spPr>
        <a:xfrm>
          <a:off x="9515929" y="54429"/>
          <a:ext cx="567764" cy="294622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800" b="1" i="0"/>
            <a:t>VOLTAR</a:t>
          </a:r>
        </a:p>
      </xdr:txBody>
    </xdr: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520691</xdr:colOff>
      <xdr:row>6</xdr:row>
      <xdr:rowOff>84577</xdr:rowOff>
    </xdr:from>
    <xdr:to>
      <xdr:col>12</xdr:col>
      <xdr:colOff>170591</xdr:colOff>
      <xdr:row>13</xdr:row>
      <xdr:rowOff>207860</xdr:rowOff>
    </xdr:to>
    <xdr:sp macro="" textlink="">
      <xdr:nvSpPr>
        <xdr:cNvPr id="2" name="Seta: para Cima 1">
          <a:hlinkClick xmlns:r="http://schemas.openxmlformats.org/officeDocument/2006/relationships" r:id="rId1" tooltip="ATENÇAO!"/>
          <a:extLst>
            <a:ext uri="{FF2B5EF4-FFF2-40B4-BE49-F238E27FC236}">
              <a16:creationId xmlns:a16="http://schemas.microsoft.com/office/drawing/2014/main" id="{20A38264-FD6D-4D79-816C-7CB7B319FA72}"/>
            </a:ext>
          </a:extLst>
        </xdr:cNvPr>
        <xdr:cNvSpPr/>
      </xdr:nvSpPr>
      <xdr:spPr>
        <a:xfrm rot="18891054">
          <a:off x="13114174" y="2165944"/>
          <a:ext cx="2155283" cy="1853350"/>
        </a:xfrm>
        <a:prstGeom prst="upArrow">
          <a:avLst>
            <a:gd name="adj1" fmla="val 56018"/>
            <a:gd name="adj2" fmla="val 49009"/>
          </a:avLst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159026</xdr:colOff>
      <xdr:row>0</xdr:row>
      <xdr:rowOff>0</xdr:rowOff>
    </xdr:from>
    <xdr:to>
      <xdr:col>1</xdr:col>
      <xdr:colOff>722244</xdr:colOff>
      <xdr:row>0</xdr:row>
      <xdr:rowOff>922544</xdr:rowOff>
    </xdr:to>
    <xdr:pic>
      <xdr:nvPicPr>
        <xdr:cNvPr id="3" name="Imagem 2" descr="Brasão timbrado CFQ">
          <a:extLst>
            <a:ext uri="{FF2B5EF4-FFF2-40B4-BE49-F238E27FC236}">
              <a16:creationId xmlns:a16="http://schemas.microsoft.com/office/drawing/2014/main" id="{1DB29FD6-C77C-488A-9731-A18621FADA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026" y="0"/>
          <a:ext cx="931518" cy="919369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5</xdr:col>
      <xdr:colOff>0</xdr:colOff>
      <xdr:row>0</xdr:row>
      <xdr:rowOff>0</xdr:rowOff>
    </xdr:from>
    <xdr:to>
      <xdr:col>5</xdr:col>
      <xdr:colOff>567764</xdr:colOff>
      <xdr:row>0</xdr:row>
      <xdr:rowOff>294622</xdr:rowOff>
    </xdr:to>
    <xdr:sp macro="" textlink="">
      <xdr:nvSpPr>
        <xdr:cNvPr id="5" name="Retângulo: Cantos Arredondados 4">
          <a:hlinkClick xmlns:r="http://schemas.openxmlformats.org/officeDocument/2006/relationships" r:id="rId3" tooltip="Voltar ao índice"/>
          <a:extLst>
            <a:ext uri="{FF2B5EF4-FFF2-40B4-BE49-F238E27FC236}">
              <a16:creationId xmlns:a16="http://schemas.microsoft.com/office/drawing/2014/main" id="{0DBA3D6D-D281-420E-8439-D09FEC31BA6C}"/>
            </a:ext>
          </a:extLst>
        </xdr:cNvPr>
        <xdr:cNvSpPr/>
      </xdr:nvSpPr>
      <xdr:spPr>
        <a:xfrm>
          <a:off x="9325429" y="0"/>
          <a:ext cx="567764" cy="294622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800" b="1" i="0"/>
            <a:t>VOLTAR</a:t>
          </a:r>
        </a:p>
      </xdr:txBody>
    </xdr: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520691</xdr:colOff>
      <xdr:row>6</xdr:row>
      <xdr:rowOff>84577</xdr:rowOff>
    </xdr:from>
    <xdr:to>
      <xdr:col>12</xdr:col>
      <xdr:colOff>170591</xdr:colOff>
      <xdr:row>13</xdr:row>
      <xdr:rowOff>207860</xdr:rowOff>
    </xdr:to>
    <xdr:sp macro="" textlink="">
      <xdr:nvSpPr>
        <xdr:cNvPr id="2" name="Seta: para Cima 1">
          <a:hlinkClick xmlns:r="http://schemas.openxmlformats.org/officeDocument/2006/relationships" r:id="rId1" tooltip="ATENÇAO!"/>
          <a:extLst>
            <a:ext uri="{FF2B5EF4-FFF2-40B4-BE49-F238E27FC236}">
              <a16:creationId xmlns:a16="http://schemas.microsoft.com/office/drawing/2014/main" id="{FF0D5EA3-E7AE-4890-A6BF-8E72C374B1BD}"/>
            </a:ext>
          </a:extLst>
        </xdr:cNvPr>
        <xdr:cNvSpPr/>
      </xdr:nvSpPr>
      <xdr:spPr>
        <a:xfrm rot="18891054">
          <a:off x="13336425" y="2305643"/>
          <a:ext cx="2158458" cy="1856525"/>
        </a:xfrm>
        <a:prstGeom prst="upArrow">
          <a:avLst>
            <a:gd name="adj1" fmla="val 56018"/>
            <a:gd name="adj2" fmla="val 49009"/>
          </a:avLst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159026</xdr:colOff>
      <xdr:row>0</xdr:row>
      <xdr:rowOff>0</xdr:rowOff>
    </xdr:from>
    <xdr:to>
      <xdr:col>1</xdr:col>
      <xdr:colOff>722244</xdr:colOff>
      <xdr:row>0</xdr:row>
      <xdr:rowOff>922544</xdr:rowOff>
    </xdr:to>
    <xdr:pic>
      <xdr:nvPicPr>
        <xdr:cNvPr id="3" name="Imagem 2" descr="Brasão timbrado CFQ">
          <a:extLst>
            <a:ext uri="{FF2B5EF4-FFF2-40B4-BE49-F238E27FC236}">
              <a16:creationId xmlns:a16="http://schemas.microsoft.com/office/drawing/2014/main" id="{AF96D635-D3CB-4D9F-AB3A-FBA8395EF6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201" y="0"/>
          <a:ext cx="931518" cy="925719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5</xdr:col>
      <xdr:colOff>0</xdr:colOff>
      <xdr:row>0</xdr:row>
      <xdr:rowOff>0</xdr:rowOff>
    </xdr:from>
    <xdr:to>
      <xdr:col>5</xdr:col>
      <xdr:colOff>567764</xdr:colOff>
      <xdr:row>0</xdr:row>
      <xdr:rowOff>294622</xdr:rowOff>
    </xdr:to>
    <xdr:sp macro="" textlink="">
      <xdr:nvSpPr>
        <xdr:cNvPr id="5" name="Retângulo: Cantos Arredondados 4">
          <a:hlinkClick xmlns:r="http://schemas.openxmlformats.org/officeDocument/2006/relationships" r:id="rId3" tooltip="Voltar ao índice"/>
          <a:extLst>
            <a:ext uri="{FF2B5EF4-FFF2-40B4-BE49-F238E27FC236}">
              <a16:creationId xmlns:a16="http://schemas.microsoft.com/office/drawing/2014/main" id="{6742871B-7598-43CB-A1DF-AB893DBDF72C}"/>
            </a:ext>
          </a:extLst>
        </xdr:cNvPr>
        <xdr:cNvSpPr/>
      </xdr:nvSpPr>
      <xdr:spPr>
        <a:xfrm>
          <a:off x="9315450" y="0"/>
          <a:ext cx="567764" cy="294622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800" b="1" i="0"/>
            <a:t>VOLTAR</a:t>
          </a:r>
        </a:p>
      </xdr:txBody>
    </xdr: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520691</xdr:colOff>
      <xdr:row>6</xdr:row>
      <xdr:rowOff>84577</xdr:rowOff>
    </xdr:from>
    <xdr:to>
      <xdr:col>12</xdr:col>
      <xdr:colOff>170591</xdr:colOff>
      <xdr:row>13</xdr:row>
      <xdr:rowOff>207860</xdr:rowOff>
    </xdr:to>
    <xdr:sp macro="" textlink="">
      <xdr:nvSpPr>
        <xdr:cNvPr id="2" name="Seta: para Cima 1">
          <a:hlinkClick xmlns:r="http://schemas.openxmlformats.org/officeDocument/2006/relationships" r:id="rId1" tooltip="ATENÇAO!"/>
          <a:extLst>
            <a:ext uri="{FF2B5EF4-FFF2-40B4-BE49-F238E27FC236}">
              <a16:creationId xmlns:a16="http://schemas.microsoft.com/office/drawing/2014/main" id="{61EFDEFD-8DC4-499F-A9EC-8FAB1BE9C732}"/>
            </a:ext>
          </a:extLst>
        </xdr:cNvPr>
        <xdr:cNvSpPr/>
      </xdr:nvSpPr>
      <xdr:spPr>
        <a:xfrm rot="18891054">
          <a:off x="13336425" y="2305643"/>
          <a:ext cx="2158458" cy="1856525"/>
        </a:xfrm>
        <a:prstGeom prst="upArrow">
          <a:avLst>
            <a:gd name="adj1" fmla="val 56018"/>
            <a:gd name="adj2" fmla="val 49009"/>
          </a:avLst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159026</xdr:colOff>
      <xdr:row>0</xdr:row>
      <xdr:rowOff>0</xdr:rowOff>
    </xdr:from>
    <xdr:to>
      <xdr:col>1</xdr:col>
      <xdr:colOff>722244</xdr:colOff>
      <xdr:row>0</xdr:row>
      <xdr:rowOff>922544</xdr:rowOff>
    </xdr:to>
    <xdr:pic>
      <xdr:nvPicPr>
        <xdr:cNvPr id="3" name="Imagem 2" descr="Brasão timbrado CFQ">
          <a:extLst>
            <a:ext uri="{FF2B5EF4-FFF2-40B4-BE49-F238E27FC236}">
              <a16:creationId xmlns:a16="http://schemas.microsoft.com/office/drawing/2014/main" id="{876AD928-5275-429E-A37E-51D005742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201" y="0"/>
          <a:ext cx="931518" cy="925719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5</xdr:col>
      <xdr:colOff>0</xdr:colOff>
      <xdr:row>0</xdr:row>
      <xdr:rowOff>0</xdr:rowOff>
    </xdr:from>
    <xdr:to>
      <xdr:col>5</xdr:col>
      <xdr:colOff>567764</xdr:colOff>
      <xdr:row>0</xdr:row>
      <xdr:rowOff>294622</xdr:rowOff>
    </xdr:to>
    <xdr:sp macro="" textlink="">
      <xdr:nvSpPr>
        <xdr:cNvPr id="5" name="Retângulo: Cantos Arredondados 4">
          <a:hlinkClick xmlns:r="http://schemas.openxmlformats.org/officeDocument/2006/relationships" r:id="rId3" tooltip="Voltar ao índice"/>
          <a:extLst>
            <a:ext uri="{FF2B5EF4-FFF2-40B4-BE49-F238E27FC236}">
              <a16:creationId xmlns:a16="http://schemas.microsoft.com/office/drawing/2014/main" id="{33F545AF-94BC-44B6-AACD-260521F6BB8B}"/>
            </a:ext>
          </a:extLst>
        </xdr:cNvPr>
        <xdr:cNvSpPr/>
      </xdr:nvSpPr>
      <xdr:spPr>
        <a:xfrm>
          <a:off x="9315450" y="0"/>
          <a:ext cx="567764" cy="294622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800" b="1" i="0"/>
            <a:t>VOLTAR</a:t>
          </a:r>
        </a:p>
      </xdr:txBody>
    </xdr: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520691</xdr:colOff>
      <xdr:row>6</xdr:row>
      <xdr:rowOff>84577</xdr:rowOff>
    </xdr:from>
    <xdr:to>
      <xdr:col>12</xdr:col>
      <xdr:colOff>170591</xdr:colOff>
      <xdr:row>13</xdr:row>
      <xdr:rowOff>207860</xdr:rowOff>
    </xdr:to>
    <xdr:sp macro="" textlink="">
      <xdr:nvSpPr>
        <xdr:cNvPr id="2" name="Seta: para Cima 1">
          <a:hlinkClick xmlns:r="http://schemas.openxmlformats.org/officeDocument/2006/relationships" r:id="rId1" tooltip="ATENÇAO!"/>
          <a:extLst>
            <a:ext uri="{FF2B5EF4-FFF2-40B4-BE49-F238E27FC236}">
              <a16:creationId xmlns:a16="http://schemas.microsoft.com/office/drawing/2014/main" id="{C9096B3E-3B46-4E20-BE83-7FE3E80C6557}"/>
            </a:ext>
          </a:extLst>
        </xdr:cNvPr>
        <xdr:cNvSpPr/>
      </xdr:nvSpPr>
      <xdr:spPr>
        <a:xfrm rot="18891054">
          <a:off x="13336425" y="2305643"/>
          <a:ext cx="2158458" cy="1856525"/>
        </a:xfrm>
        <a:prstGeom prst="upArrow">
          <a:avLst>
            <a:gd name="adj1" fmla="val 56018"/>
            <a:gd name="adj2" fmla="val 49009"/>
          </a:avLst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159026</xdr:colOff>
      <xdr:row>0</xdr:row>
      <xdr:rowOff>0</xdr:rowOff>
    </xdr:from>
    <xdr:to>
      <xdr:col>1</xdr:col>
      <xdr:colOff>722244</xdr:colOff>
      <xdr:row>0</xdr:row>
      <xdr:rowOff>922544</xdr:rowOff>
    </xdr:to>
    <xdr:pic>
      <xdr:nvPicPr>
        <xdr:cNvPr id="3" name="Imagem 2" descr="Brasão timbrado CFQ">
          <a:extLst>
            <a:ext uri="{FF2B5EF4-FFF2-40B4-BE49-F238E27FC236}">
              <a16:creationId xmlns:a16="http://schemas.microsoft.com/office/drawing/2014/main" id="{5B9C1649-3A3B-4223-AA8C-0F25392A72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201" y="0"/>
          <a:ext cx="931518" cy="925719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4</xdr:col>
      <xdr:colOff>127001</xdr:colOff>
      <xdr:row>0</xdr:row>
      <xdr:rowOff>0</xdr:rowOff>
    </xdr:from>
    <xdr:to>
      <xdr:col>5</xdr:col>
      <xdr:colOff>449836</xdr:colOff>
      <xdr:row>0</xdr:row>
      <xdr:rowOff>294622</xdr:rowOff>
    </xdr:to>
    <xdr:sp macro="" textlink="">
      <xdr:nvSpPr>
        <xdr:cNvPr id="5" name="Retângulo: Cantos Arredondados 4">
          <a:hlinkClick xmlns:r="http://schemas.openxmlformats.org/officeDocument/2006/relationships" r:id="rId3" tooltip="Voltar ao índice"/>
          <a:extLst>
            <a:ext uri="{FF2B5EF4-FFF2-40B4-BE49-F238E27FC236}">
              <a16:creationId xmlns:a16="http://schemas.microsoft.com/office/drawing/2014/main" id="{6351A672-17B4-4F31-AC9F-E18D34FA3A54}"/>
            </a:ext>
          </a:extLst>
        </xdr:cNvPr>
        <xdr:cNvSpPr/>
      </xdr:nvSpPr>
      <xdr:spPr>
        <a:xfrm>
          <a:off x="9207501" y="0"/>
          <a:ext cx="567764" cy="294622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800" b="1" i="0"/>
            <a:t>VOLTAR</a:t>
          </a:r>
        </a:p>
      </xdr:txBody>
    </xdr: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130451</xdr:colOff>
      <xdr:row>0</xdr:row>
      <xdr:rowOff>85725</xdr:rowOff>
    </xdr:from>
    <xdr:to>
      <xdr:col>1</xdr:col>
      <xdr:colOff>1046094</xdr:colOff>
      <xdr:row>0</xdr:row>
      <xdr:rowOff>998744</xdr:rowOff>
    </xdr:to>
    <xdr:pic>
      <xdr:nvPicPr>
        <xdr:cNvPr id="2" name="Imagem 1" descr="Brasão timbrado CFQ">
          <a:extLst>
            <a:ext uri="{FF2B5EF4-FFF2-40B4-BE49-F238E27FC236}">
              <a16:creationId xmlns:a16="http://schemas.microsoft.com/office/drawing/2014/main" id="{43F8FFC5-2D48-4E38-9C96-DF173508C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601" y="85725"/>
          <a:ext cx="915643" cy="919369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6</xdr:col>
      <xdr:colOff>36286</xdr:colOff>
      <xdr:row>0</xdr:row>
      <xdr:rowOff>0</xdr:rowOff>
    </xdr:from>
    <xdr:to>
      <xdr:col>6</xdr:col>
      <xdr:colOff>604050</xdr:colOff>
      <xdr:row>0</xdr:row>
      <xdr:rowOff>294622</xdr:rowOff>
    </xdr:to>
    <xdr:sp macro="" textlink="">
      <xdr:nvSpPr>
        <xdr:cNvPr id="3" name="Retângulo: Cantos Arredondados 2">
          <a:hlinkClick xmlns:r="http://schemas.openxmlformats.org/officeDocument/2006/relationships" r:id="rId2" tooltip="Voltar ao índice"/>
          <a:extLst>
            <a:ext uri="{FF2B5EF4-FFF2-40B4-BE49-F238E27FC236}">
              <a16:creationId xmlns:a16="http://schemas.microsoft.com/office/drawing/2014/main" id="{67EDB135-DBC8-42C8-BBDC-3493DE023400}"/>
            </a:ext>
          </a:extLst>
        </xdr:cNvPr>
        <xdr:cNvSpPr/>
      </xdr:nvSpPr>
      <xdr:spPr>
        <a:xfrm>
          <a:off x="7211786" y="0"/>
          <a:ext cx="567764" cy="294622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800" b="1" i="0"/>
            <a:t>VOLTAR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53"/>
  <sheetViews>
    <sheetView view="pageBreakPreview" topLeftCell="A114" zoomScale="60" workbookViewId="0">
      <selection activeCell="H126" sqref="H126"/>
    </sheetView>
  </sheetViews>
  <sheetFormatPr defaultRowHeight="14.4"/>
  <cols>
    <col min="1" max="1" width="8.77734375" style="1" customWidth="1"/>
    <col min="2" max="2" width="55.77734375" style="1" customWidth="1"/>
    <col min="3" max="3" width="21" style="1" customWidth="1"/>
    <col min="4" max="4" width="20" style="1" bestFit="1" customWidth="1"/>
    <col min="5" max="5" width="20.77734375" style="1" bestFit="1" customWidth="1"/>
    <col min="6" max="6" width="9.21875" style="1"/>
    <col min="7" max="7" width="16.5546875" style="1" bestFit="1" customWidth="1"/>
    <col min="8" max="8" width="13.44140625" style="1" customWidth="1"/>
    <col min="9" max="255" width="9.21875" style="1"/>
    <col min="256" max="256" width="3.77734375" style="1" customWidth="1"/>
    <col min="257" max="257" width="55.77734375" style="1" customWidth="1"/>
    <col min="258" max="258" width="30" style="1" customWidth="1"/>
    <col min="259" max="259" width="24.77734375" style="1" customWidth="1"/>
    <col min="260" max="260" width="24.5546875" style="1" customWidth="1"/>
    <col min="261" max="511" width="9.21875" style="1"/>
    <col min="512" max="512" width="3.77734375" style="1" customWidth="1"/>
    <col min="513" max="513" width="55.77734375" style="1" customWidth="1"/>
    <col min="514" max="514" width="30" style="1" customWidth="1"/>
    <col min="515" max="515" width="24.77734375" style="1" customWidth="1"/>
    <col min="516" max="516" width="24.5546875" style="1" customWidth="1"/>
    <col min="517" max="767" width="9.21875" style="1"/>
    <col min="768" max="768" width="3.77734375" style="1" customWidth="1"/>
    <col min="769" max="769" width="55.77734375" style="1" customWidth="1"/>
    <col min="770" max="770" width="30" style="1" customWidth="1"/>
    <col min="771" max="771" width="24.77734375" style="1" customWidth="1"/>
    <col min="772" max="772" width="24.5546875" style="1" customWidth="1"/>
    <col min="773" max="1023" width="9.21875" style="1"/>
    <col min="1024" max="1024" width="3.77734375" style="1" customWidth="1"/>
    <col min="1025" max="1025" width="55.77734375" style="1" customWidth="1"/>
    <col min="1026" max="1026" width="30" style="1" customWidth="1"/>
    <col min="1027" max="1027" width="24.77734375" style="1" customWidth="1"/>
    <col min="1028" max="1028" width="24.5546875" style="1" customWidth="1"/>
    <col min="1029" max="1279" width="9.21875" style="1"/>
    <col min="1280" max="1280" width="3.77734375" style="1" customWidth="1"/>
    <col min="1281" max="1281" width="55.77734375" style="1" customWidth="1"/>
    <col min="1282" max="1282" width="30" style="1" customWidth="1"/>
    <col min="1283" max="1283" width="24.77734375" style="1" customWidth="1"/>
    <col min="1284" max="1284" width="24.5546875" style="1" customWidth="1"/>
    <col min="1285" max="1535" width="9.21875" style="1"/>
    <col min="1536" max="1536" width="3.77734375" style="1" customWidth="1"/>
    <col min="1537" max="1537" width="55.77734375" style="1" customWidth="1"/>
    <col min="1538" max="1538" width="30" style="1" customWidth="1"/>
    <col min="1539" max="1539" width="24.77734375" style="1" customWidth="1"/>
    <col min="1540" max="1540" width="24.5546875" style="1" customWidth="1"/>
    <col min="1541" max="1791" width="9.21875" style="1"/>
    <col min="1792" max="1792" width="3.77734375" style="1" customWidth="1"/>
    <col min="1793" max="1793" width="55.77734375" style="1" customWidth="1"/>
    <col min="1794" max="1794" width="30" style="1" customWidth="1"/>
    <col min="1795" max="1795" width="24.77734375" style="1" customWidth="1"/>
    <col min="1796" max="1796" width="24.5546875" style="1" customWidth="1"/>
    <col min="1797" max="2047" width="9.21875" style="1"/>
    <col min="2048" max="2048" width="3.77734375" style="1" customWidth="1"/>
    <col min="2049" max="2049" width="55.77734375" style="1" customWidth="1"/>
    <col min="2050" max="2050" width="30" style="1" customWidth="1"/>
    <col min="2051" max="2051" width="24.77734375" style="1" customWidth="1"/>
    <col min="2052" max="2052" width="24.5546875" style="1" customWidth="1"/>
    <col min="2053" max="2303" width="9.21875" style="1"/>
    <col min="2304" max="2304" width="3.77734375" style="1" customWidth="1"/>
    <col min="2305" max="2305" width="55.77734375" style="1" customWidth="1"/>
    <col min="2306" max="2306" width="30" style="1" customWidth="1"/>
    <col min="2307" max="2307" width="24.77734375" style="1" customWidth="1"/>
    <col min="2308" max="2308" width="24.5546875" style="1" customWidth="1"/>
    <col min="2309" max="2559" width="9.21875" style="1"/>
    <col min="2560" max="2560" width="3.77734375" style="1" customWidth="1"/>
    <col min="2561" max="2561" width="55.77734375" style="1" customWidth="1"/>
    <col min="2562" max="2562" width="30" style="1" customWidth="1"/>
    <col min="2563" max="2563" width="24.77734375" style="1" customWidth="1"/>
    <col min="2564" max="2564" width="24.5546875" style="1" customWidth="1"/>
    <col min="2565" max="2815" width="9.21875" style="1"/>
    <col min="2816" max="2816" width="3.77734375" style="1" customWidth="1"/>
    <col min="2817" max="2817" width="55.77734375" style="1" customWidth="1"/>
    <col min="2818" max="2818" width="30" style="1" customWidth="1"/>
    <col min="2819" max="2819" width="24.77734375" style="1" customWidth="1"/>
    <col min="2820" max="2820" width="24.5546875" style="1" customWidth="1"/>
    <col min="2821" max="3071" width="9.21875" style="1"/>
    <col min="3072" max="3072" width="3.77734375" style="1" customWidth="1"/>
    <col min="3073" max="3073" width="55.77734375" style="1" customWidth="1"/>
    <col min="3074" max="3074" width="30" style="1" customWidth="1"/>
    <col min="3075" max="3075" width="24.77734375" style="1" customWidth="1"/>
    <col min="3076" max="3076" width="24.5546875" style="1" customWidth="1"/>
    <col min="3077" max="3327" width="9.21875" style="1"/>
    <col min="3328" max="3328" width="3.77734375" style="1" customWidth="1"/>
    <col min="3329" max="3329" width="55.77734375" style="1" customWidth="1"/>
    <col min="3330" max="3330" width="30" style="1" customWidth="1"/>
    <col min="3331" max="3331" width="24.77734375" style="1" customWidth="1"/>
    <col min="3332" max="3332" width="24.5546875" style="1" customWidth="1"/>
    <col min="3333" max="3583" width="9.21875" style="1"/>
    <col min="3584" max="3584" width="3.77734375" style="1" customWidth="1"/>
    <col min="3585" max="3585" width="55.77734375" style="1" customWidth="1"/>
    <col min="3586" max="3586" width="30" style="1" customWidth="1"/>
    <col min="3587" max="3587" width="24.77734375" style="1" customWidth="1"/>
    <col min="3588" max="3588" width="24.5546875" style="1" customWidth="1"/>
    <col min="3589" max="3839" width="9.21875" style="1"/>
    <col min="3840" max="3840" width="3.77734375" style="1" customWidth="1"/>
    <col min="3841" max="3841" width="55.77734375" style="1" customWidth="1"/>
    <col min="3842" max="3842" width="30" style="1" customWidth="1"/>
    <col min="3843" max="3843" width="24.77734375" style="1" customWidth="1"/>
    <col min="3844" max="3844" width="24.5546875" style="1" customWidth="1"/>
    <col min="3845" max="4095" width="9.21875" style="1"/>
    <col min="4096" max="4096" width="3.77734375" style="1" customWidth="1"/>
    <col min="4097" max="4097" width="55.77734375" style="1" customWidth="1"/>
    <col min="4098" max="4098" width="30" style="1" customWidth="1"/>
    <col min="4099" max="4099" width="24.77734375" style="1" customWidth="1"/>
    <col min="4100" max="4100" width="24.5546875" style="1" customWidth="1"/>
    <col min="4101" max="4351" width="9.21875" style="1"/>
    <col min="4352" max="4352" width="3.77734375" style="1" customWidth="1"/>
    <col min="4353" max="4353" width="55.77734375" style="1" customWidth="1"/>
    <col min="4354" max="4354" width="30" style="1" customWidth="1"/>
    <col min="4355" max="4355" width="24.77734375" style="1" customWidth="1"/>
    <col min="4356" max="4356" width="24.5546875" style="1" customWidth="1"/>
    <col min="4357" max="4607" width="9.21875" style="1"/>
    <col min="4608" max="4608" width="3.77734375" style="1" customWidth="1"/>
    <col min="4609" max="4609" width="55.77734375" style="1" customWidth="1"/>
    <col min="4610" max="4610" width="30" style="1" customWidth="1"/>
    <col min="4611" max="4611" width="24.77734375" style="1" customWidth="1"/>
    <col min="4612" max="4612" width="24.5546875" style="1" customWidth="1"/>
    <col min="4613" max="4863" width="9.21875" style="1"/>
    <col min="4864" max="4864" width="3.77734375" style="1" customWidth="1"/>
    <col min="4865" max="4865" width="55.77734375" style="1" customWidth="1"/>
    <col min="4866" max="4866" width="30" style="1" customWidth="1"/>
    <col min="4867" max="4867" width="24.77734375" style="1" customWidth="1"/>
    <col min="4868" max="4868" width="24.5546875" style="1" customWidth="1"/>
    <col min="4869" max="5119" width="9.21875" style="1"/>
    <col min="5120" max="5120" width="3.77734375" style="1" customWidth="1"/>
    <col min="5121" max="5121" width="55.77734375" style="1" customWidth="1"/>
    <col min="5122" max="5122" width="30" style="1" customWidth="1"/>
    <col min="5123" max="5123" width="24.77734375" style="1" customWidth="1"/>
    <col min="5124" max="5124" width="24.5546875" style="1" customWidth="1"/>
    <col min="5125" max="5375" width="9.21875" style="1"/>
    <col min="5376" max="5376" width="3.77734375" style="1" customWidth="1"/>
    <col min="5377" max="5377" width="55.77734375" style="1" customWidth="1"/>
    <col min="5378" max="5378" width="30" style="1" customWidth="1"/>
    <col min="5379" max="5379" width="24.77734375" style="1" customWidth="1"/>
    <col min="5380" max="5380" width="24.5546875" style="1" customWidth="1"/>
    <col min="5381" max="5631" width="9.21875" style="1"/>
    <col min="5632" max="5632" width="3.77734375" style="1" customWidth="1"/>
    <col min="5633" max="5633" width="55.77734375" style="1" customWidth="1"/>
    <col min="5634" max="5634" width="30" style="1" customWidth="1"/>
    <col min="5635" max="5635" width="24.77734375" style="1" customWidth="1"/>
    <col min="5636" max="5636" width="24.5546875" style="1" customWidth="1"/>
    <col min="5637" max="5887" width="9.21875" style="1"/>
    <col min="5888" max="5888" width="3.77734375" style="1" customWidth="1"/>
    <col min="5889" max="5889" width="55.77734375" style="1" customWidth="1"/>
    <col min="5890" max="5890" width="30" style="1" customWidth="1"/>
    <col min="5891" max="5891" width="24.77734375" style="1" customWidth="1"/>
    <col min="5892" max="5892" width="24.5546875" style="1" customWidth="1"/>
    <col min="5893" max="6143" width="9.21875" style="1"/>
    <col min="6144" max="6144" width="3.77734375" style="1" customWidth="1"/>
    <col min="6145" max="6145" width="55.77734375" style="1" customWidth="1"/>
    <col min="6146" max="6146" width="30" style="1" customWidth="1"/>
    <col min="6147" max="6147" width="24.77734375" style="1" customWidth="1"/>
    <col min="6148" max="6148" width="24.5546875" style="1" customWidth="1"/>
    <col min="6149" max="6399" width="9.21875" style="1"/>
    <col min="6400" max="6400" width="3.77734375" style="1" customWidth="1"/>
    <col min="6401" max="6401" width="55.77734375" style="1" customWidth="1"/>
    <col min="6402" max="6402" width="30" style="1" customWidth="1"/>
    <col min="6403" max="6403" width="24.77734375" style="1" customWidth="1"/>
    <col min="6404" max="6404" width="24.5546875" style="1" customWidth="1"/>
    <col min="6405" max="6655" width="9.21875" style="1"/>
    <col min="6656" max="6656" width="3.77734375" style="1" customWidth="1"/>
    <col min="6657" max="6657" width="55.77734375" style="1" customWidth="1"/>
    <col min="6658" max="6658" width="30" style="1" customWidth="1"/>
    <col min="6659" max="6659" width="24.77734375" style="1" customWidth="1"/>
    <col min="6660" max="6660" width="24.5546875" style="1" customWidth="1"/>
    <col min="6661" max="6911" width="9.21875" style="1"/>
    <col min="6912" max="6912" width="3.77734375" style="1" customWidth="1"/>
    <col min="6913" max="6913" width="55.77734375" style="1" customWidth="1"/>
    <col min="6914" max="6914" width="30" style="1" customWidth="1"/>
    <col min="6915" max="6915" width="24.77734375" style="1" customWidth="1"/>
    <col min="6916" max="6916" width="24.5546875" style="1" customWidth="1"/>
    <col min="6917" max="7167" width="9.21875" style="1"/>
    <col min="7168" max="7168" width="3.77734375" style="1" customWidth="1"/>
    <col min="7169" max="7169" width="55.77734375" style="1" customWidth="1"/>
    <col min="7170" max="7170" width="30" style="1" customWidth="1"/>
    <col min="7171" max="7171" width="24.77734375" style="1" customWidth="1"/>
    <col min="7172" max="7172" width="24.5546875" style="1" customWidth="1"/>
    <col min="7173" max="7423" width="9.21875" style="1"/>
    <col min="7424" max="7424" width="3.77734375" style="1" customWidth="1"/>
    <col min="7425" max="7425" width="55.77734375" style="1" customWidth="1"/>
    <col min="7426" max="7426" width="30" style="1" customWidth="1"/>
    <col min="7427" max="7427" width="24.77734375" style="1" customWidth="1"/>
    <col min="7428" max="7428" width="24.5546875" style="1" customWidth="1"/>
    <col min="7429" max="7679" width="9.21875" style="1"/>
    <col min="7680" max="7680" width="3.77734375" style="1" customWidth="1"/>
    <col min="7681" max="7681" width="55.77734375" style="1" customWidth="1"/>
    <col min="7682" max="7682" width="30" style="1" customWidth="1"/>
    <col min="7683" max="7683" width="24.77734375" style="1" customWidth="1"/>
    <col min="7684" max="7684" width="24.5546875" style="1" customWidth="1"/>
    <col min="7685" max="7935" width="9.21875" style="1"/>
    <col min="7936" max="7936" width="3.77734375" style="1" customWidth="1"/>
    <col min="7937" max="7937" width="55.77734375" style="1" customWidth="1"/>
    <col min="7938" max="7938" width="30" style="1" customWidth="1"/>
    <col min="7939" max="7939" width="24.77734375" style="1" customWidth="1"/>
    <col min="7940" max="7940" width="24.5546875" style="1" customWidth="1"/>
    <col min="7941" max="8191" width="9.21875" style="1"/>
    <col min="8192" max="8192" width="3.77734375" style="1" customWidth="1"/>
    <col min="8193" max="8193" width="55.77734375" style="1" customWidth="1"/>
    <col min="8194" max="8194" width="30" style="1" customWidth="1"/>
    <col min="8195" max="8195" width="24.77734375" style="1" customWidth="1"/>
    <col min="8196" max="8196" width="24.5546875" style="1" customWidth="1"/>
    <col min="8197" max="8447" width="9.21875" style="1"/>
    <col min="8448" max="8448" width="3.77734375" style="1" customWidth="1"/>
    <col min="8449" max="8449" width="55.77734375" style="1" customWidth="1"/>
    <col min="8450" max="8450" width="30" style="1" customWidth="1"/>
    <col min="8451" max="8451" width="24.77734375" style="1" customWidth="1"/>
    <col min="8452" max="8452" width="24.5546875" style="1" customWidth="1"/>
    <col min="8453" max="8703" width="9.21875" style="1"/>
    <col min="8704" max="8704" width="3.77734375" style="1" customWidth="1"/>
    <col min="8705" max="8705" width="55.77734375" style="1" customWidth="1"/>
    <col min="8706" max="8706" width="30" style="1" customWidth="1"/>
    <col min="8707" max="8707" width="24.77734375" style="1" customWidth="1"/>
    <col min="8708" max="8708" width="24.5546875" style="1" customWidth="1"/>
    <col min="8709" max="8959" width="9.21875" style="1"/>
    <col min="8960" max="8960" width="3.77734375" style="1" customWidth="1"/>
    <col min="8961" max="8961" width="55.77734375" style="1" customWidth="1"/>
    <col min="8962" max="8962" width="30" style="1" customWidth="1"/>
    <col min="8963" max="8963" width="24.77734375" style="1" customWidth="1"/>
    <col min="8964" max="8964" width="24.5546875" style="1" customWidth="1"/>
    <col min="8965" max="9215" width="9.21875" style="1"/>
    <col min="9216" max="9216" width="3.77734375" style="1" customWidth="1"/>
    <col min="9217" max="9217" width="55.77734375" style="1" customWidth="1"/>
    <col min="9218" max="9218" width="30" style="1" customWidth="1"/>
    <col min="9219" max="9219" width="24.77734375" style="1" customWidth="1"/>
    <col min="9220" max="9220" width="24.5546875" style="1" customWidth="1"/>
    <col min="9221" max="9471" width="9.21875" style="1"/>
    <col min="9472" max="9472" width="3.77734375" style="1" customWidth="1"/>
    <col min="9473" max="9473" width="55.77734375" style="1" customWidth="1"/>
    <col min="9474" max="9474" width="30" style="1" customWidth="1"/>
    <col min="9475" max="9475" width="24.77734375" style="1" customWidth="1"/>
    <col min="9476" max="9476" width="24.5546875" style="1" customWidth="1"/>
    <col min="9477" max="9727" width="9.21875" style="1"/>
    <col min="9728" max="9728" width="3.77734375" style="1" customWidth="1"/>
    <col min="9729" max="9729" width="55.77734375" style="1" customWidth="1"/>
    <col min="9730" max="9730" width="30" style="1" customWidth="1"/>
    <col min="9731" max="9731" width="24.77734375" style="1" customWidth="1"/>
    <col min="9732" max="9732" width="24.5546875" style="1" customWidth="1"/>
    <col min="9733" max="9983" width="9.21875" style="1"/>
    <col min="9984" max="9984" width="3.77734375" style="1" customWidth="1"/>
    <col min="9985" max="9985" width="55.77734375" style="1" customWidth="1"/>
    <col min="9986" max="9986" width="30" style="1" customWidth="1"/>
    <col min="9987" max="9987" width="24.77734375" style="1" customWidth="1"/>
    <col min="9988" max="9988" width="24.5546875" style="1" customWidth="1"/>
    <col min="9989" max="10239" width="9.21875" style="1"/>
    <col min="10240" max="10240" width="3.77734375" style="1" customWidth="1"/>
    <col min="10241" max="10241" width="55.77734375" style="1" customWidth="1"/>
    <col min="10242" max="10242" width="30" style="1" customWidth="1"/>
    <col min="10243" max="10243" width="24.77734375" style="1" customWidth="1"/>
    <col min="10244" max="10244" width="24.5546875" style="1" customWidth="1"/>
    <col min="10245" max="10495" width="9.21875" style="1"/>
    <col min="10496" max="10496" width="3.77734375" style="1" customWidth="1"/>
    <col min="10497" max="10497" width="55.77734375" style="1" customWidth="1"/>
    <col min="10498" max="10498" width="30" style="1" customWidth="1"/>
    <col min="10499" max="10499" width="24.77734375" style="1" customWidth="1"/>
    <col min="10500" max="10500" width="24.5546875" style="1" customWidth="1"/>
    <col min="10501" max="10751" width="9.21875" style="1"/>
    <col min="10752" max="10752" width="3.77734375" style="1" customWidth="1"/>
    <col min="10753" max="10753" width="55.77734375" style="1" customWidth="1"/>
    <col min="10754" max="10754" width="30" style="1" customWidth="1"/>
    <col min="10755" max="10755" width="24.77734375" style="1" customWidth="1"/>
    <col min="10756" max="10756" width="24.5546875" style="1" customWidth="1"/>
    <col min="10757" max="11007" width="9.21875" style="1"/>
    <col min="11008" max="11008" width="3.77734375" style="1" customWidth="1"/>
    <col min="11009" max="11009" width="55.77734375" style="1" customWidth="1"/>
    <col min="11010" max="11010" width="30" style="1" customWidth="1"/>
    <col min="11011" max="11011" width="24.77734375" style="1" customWidth="1"/>
    <col min="11012" max="11012" width="24.5546875" style="1" customWidth="1"/>
    <col min="11013" max="11263" width="9.21875" style="1"/>
    <col min="11264" max="11264" width="3.77734375" style="1" customWidth="1"/>
    <col min="11265" max="11265" width="55.77734375" style="1" customWidth="1"/>
    <col min="11266" max="11266" width="30" style="1" customWidth="1"/>
    <col min="11267" max="11267" width="24.77734375" style="1" customWidth="1"/>
    <col min="11268" max="11268" width="24.5546875" style="1" customWidth="1"/>
    <col min="11269" max="11519" width="9.21875" style="1"/>
    <col min="11520" max="11520" width="3.77734375" style="1" customWidth="1"/>
    <col min="11521" max="11521" width="55.77734375" style="1" customWidth="1"/>
    <col min="11522" max="11522" width="30" style="1" customWidth="1"/>
    <col min="11523" max="11523" width="24.77734375" style="1" customWidth="1"/>
    <col min="11524" max="11524" width="24.5546875" style="1" customWidth="1"/>
    <col min="11525" max="11775" width="9.21875" style="1"/>
    <col min="11776" max="11776" width="3.77734375" style="1" customWidth="1"/>
    <col min="11777" max="11777" width="55.77734375" style="1" customWidth="1"/>
    <col min="11778" max="11778" width="30" style="1" customWidth="1"/>
    <col min="11779" max="11779" width="24.77734375" style="1" customWidth="1"/>
    <col min="11780" max="11780" width="24.5546875" style="1" customWidth="1"/>
    <col min="11781" max="12031" width="9.21875" style="1"/>
    <col min="12032" max="12032" width="3.77734375" style="1" customWidth="1"/>
    <col min="12033" max="12033" width="55.77734375" style="1" customWidth="1"/>
    <col min="12034" max="12034" width="30" style="1" customWidth="1"/>
    <col min="12035" max="12035" width="24.77734375" style="1" customWidth="1"/>
    <col min="12036" max="12036" width="24.5546875" style="1" customWidth="1"/>
    <col min="12037" max="12287" width="9.21875" style="1"/>
    <col min="12288" max="12288" width="3.77734375" style="1" customWidth="1"/>
    <col min="12289" max="12289" width="55.77734375" style="1" customWidth="1"/>
    <col min="12290" max="12290" width="30" style="1" customWidth="1"/>
    <col min="12291" max="12291" width="24.77734375" style="1" customWidth="1"/>
    <col min="12292" max="12292" width="24.5546875" style="1" customWidth="1"/>
    <col min="12293" max="12543" width="9.21875" style="1"/>
    <col min="12544" max="12544" width="3.77734375" style="1" customWidth="1"/>
    <col min="12545" max="12545" width="55.77734375" style="1" customWidth="1"/>
    <col min="12546" max="12546" width="30" style="1" customWidth="1"/>
    <col min="12547" max="12547" width="24.77734375" style="1" customWidth="1"/>
    <col min="12548" max="12548" width="24.5546875" style="1" customWidth="1"/>
    <col min="12549" max="12799" width="9.21875" style="1"/>
    <col min="12800" max="12800" width="3.77734375" style="1" customWidth="1"/>
    <col min="12801" max="12801" width="55.77734375" style="1" customWidth="1"/>
    <col min="12802" max="12802" width="30" style="1" customWidth="1"/>
    <col min="12803" max="12803" width="24.77734375" style="1" customWidth="1"/>
    <col min="12804" max="12804" width="24.5546875" style="1" customWidth="1"/>
    <col min="12805" max="13055" width="9.21875" style="1"/>
    <col min="13056" max="13056" width="3.77734375" style="1" customWidth="1"/>
    <col min="13057" max="13057" width="55.77734375" style="1" customWidth="1"/>
    <col min="13058" max="13058" width="30" style="1" customWidth="1"/>
    <col min="13059" max="13059" width="24.77734375" style="1" customWidth="1"/>
    <col min="13060" max="13060" width="24.5546875" style="1" customWidth="1"/>
    <col min="13061" max="13311" width="9.21875" style="1"/>
    <col min="13312" max="13312" width="3.77734375" style="1" customWidth="1"/>
    <col min="13313" max="13313" width="55.77734375" style="1" customWidth="1"/>
    <col min="13314" max="13314" width="30" style="1" customWidth="1"/>
    <col min="13315" max="13315" width="24.77734375" style="1" customWidth="1"/>
    <col min="13316" max="13316" width="24.5546875" style="1" customWidth="1"/>
    <col min="13317" max="13567" width="9.21875" style="1"/>
    <col min="13568" max="13568" width="3.77734375" style="1" customWidth="1"/>
    <col min="13569" max="13569" width="55.77734375" style="1" customWidth="1"/>
    <col min="13570" max="13570" width="30" style="1" customWidth="1"/>
    <col min="13571" max="13571" width="24.77734375" style="1" customWidth="1"/>
    <col min="13572" max="13572" width="24.5546875" style="1" customWidth="1"/>
    <col min="13573" max="13823" width="9.21875" style="1"/>
    <col min="13824" max="13824" width="3.77734375" style="1" customWidth="1"/>
    <col min="13825" max="13825" width="55.77734375" style="1" customWidth="1"/>
    <col min="13826" max="13826" width="30" style="1" customWidth="1"/>
    <col min="13827" max="13827" width="24.77734375" style="1" customWidth="1"/>
    <col min="13828" max="13828" width="24.5546875" style="1" customWidth="1"/>
    <col min="13829" max="14079" width="9.21875" style="1"/>
    <col min="14080" max="14080" width="3.77734375" style="1" customWidth="1"/>
    <col min="14081" max="14081" width="55.77734375" style="1" customWidth="1"/>
    <col min="14082" max="14082" width="30" style="1" customWidth="1"/>
    <col min="14083" max="14083" width="24.77734375" style="1" customWidth="1"/>
    <col min="14084" max="14084" width="24.5546875" style="1" customWidth="1"/>
    <col min="14085" max="14335" width="9.21875" style="1"/>
    <col min="14336" max="14336" width="3.77734375" style="1" customWidth="1"/>
    <col min="14337" max="14337" width="55.77734375" style="1" customWidth="1"/>
    <col min="14338" max="14338" width="30" style="1" customWidth="1"/>
    <col min="14339" max="14339" width="24.77734375" style="1" customWidth="1"/>
    <col min="14340" max="14340" width="24.5546875" style="1" customWidth="1"/>
    <col min="14341" max="14591" width="9.21875" style="1"/>
    <col min="14592" max="14592" width="3.77734375" style="1" customWidth="1"/>
    <col min="14593" max="14593" width="55.77734375" style="1" customWidth="1"/>
    <col min="14594" max="14594" width="30" style="1" customWidth="1"/>
    <col min="14595" max="14595" width="24.77734375" style="1" customWidth="1"/>
    <col min="14596" max="14596" width="24.5546875" style="1" customWidth="1"/>
    <col min="14597" max="14847" width="9.21875" style="1"/>
    <col min="14848" max="14848" width="3.77734375" style="1" customWidth="1"/>
    <col min="14849" max="14849" width="55.77734375" style="1" customWidth="1"/>
    <col min="14850" max="14850" width="30" style="1" customWidth="1"/>
    <col min="14851" max="14851" width="24.77734375" style="1" customWidth="1"/>
    <col min="14852" max="14852" width="24.5546875" style="1" customWidth="1"/>
    <col min="14853" max="15103" width="9.21875" style="1"/>
    <col min="15104" max="15104" width="3.77734375" style="1" customWidth="1"/>
    <col min="15105" max="15105" width="55.77734375" style="1" customWidth="1"/>
    <col min="15106" max="15106" width="30" style="1" customWidth="1"/>
    <col min="15107" max="15107" width="24.77734375" style="1" customWidth="1"/>
    <col min="15108" max="15108" width="24.5546875" style="1" customWidth="1"/>
    <col min="15109" max="15359" width="9.21875" style="1"/>
    <col min="15360" max="15360" width="3.77734375" style="1" customWidth="1"/>
    <col min="15361" max="15361" width="55.77734375" style="1" customWidth="1"/>
    <col min="15362" max="15362" width="30" style="1" customWidth="1"/>
    <col min="15363" max="15363" width="24.77734375" style="1" customWidth="1"/>
    <col min="15364" max="15364" width="24.5546875" style="1" customWidth="1"/>
    <col min="15365" max="15615" width="9.21875" style="1"/>
    <col min="15616" max="15616" width="3.77734375" style="1" customWidth="1"/>
    <col min="15617" max="15617" width="55.77734375" style="1" customWidth="1"/>
    <col min="15618" max="15618" width="30" style="1" customWidth="1"/>
    <col min="15619" max="15619" width="24.77734375" style="1" customWidth="1"/>
    <col min="15620" max="15620" width="24.5546875" style="1" customWidth="1"/>
    <col min="15621" max="15871" width="9.21875" style="1"/>
    <col min="15872" max="15872" width="3.77734375" style="1" customWidth="1"/>
    <col min="15873" max="15873" width="55.77734375" style="1" customWidth="1"/>
    <col min="15874" max="15874" width="30" style="1" customWidth="1"/>
    <col min="15875" max="15875" width="24.77734375" style="1" customWidth="1"/>
    <col min="15876" max="15876" width="24.5546875" style="1" customWidth="1"/>
    <col min="15877" max="16127" width="9.21875" style="1"/>
    <col min="16128" max="16128" width="3.77734375" style="1" customWidth="1"/>
    <col min="16129" max="16129" width="55.77734375" style="1" customWidth="1"/>
    <col min="16130" max="16130" width="30" style="1" customWidth="1"/>
    <col min="16131" max="16131" width="24.77734375" style="1" customWidth="1"/>
    <col min="16132" max="16132" width="24.5546875" style="1" customWidth="1"/>
    <col min="16133" max="16384" width="9.21875" style="1"/>
  </cols>
  <sheetData>
    <row r="1" spans="1:6" ht="15.6">
      <c r="A1" s="453" t="s">
        <v>133</v>
      </c>
      <c r="B1" s="453"/>
      <c r="C1" s="453"/>
      <c r="D1" s="453"/>
    </row>
    <row r="2" spans="1:6" ht="38.25" customHeight="1">
      <c r="A2" s="454" t="s">
        <v>127</v>
      </c>
      <c r="B2" s="454"/>
      <c r="C2" s="454"/>
      <c r="D2" s="454"/>
    </row>
    <row r="3" spans="1:6" ht="15.6">
      <c r="A3" s="2" t="s">
        <v>0</v>
      </c>
      <c r="B3" s="454" t="s">
        <v>132</v>
      </c>
      <c r="C3" s="462"/>
      <c r="D3" s="462"/>
      <c r="F3" s="3"/>
    </row>
    <row r="4" spans="1:6" ht="15">
      <c r="A4" s="455" t="s">
        <v>1</v>
      </c>
      <c r="B4" s="456"/>
      <c r="C4" s="456"/>
      <c r="D4" s="456"/>
    </row>
    <row r="5" spans="1:6" ht="15" thickBot="1"/>
    <row r="6" spans="1:6" s="6" customFormat="1" ht="16.2" thickBot="1">
      <c r="A6" s="4"/>
      <c r="B6" s="4" t="s">
        <v>2</v>
      </c>
      <c r="C6" s="5"/>
    </row>
    <row r="7" spans="1:6" s="6" customFormat="1" ht="16.2" thickBot="1">
      <c r="A7" s="4"/>
      <c r="B7" s="4" t="s">
        <v>3</v>
      </c>
      <c r="C7" s="5"/>
    </row>
    <row r="8" spans="1:6" ht="15.6">
      <c r="A8" s="457" t="s">
        <v>4</v>
      </c>
      <c r="B8" s="457"/>
      <c r="C8" s="457"/>
    </row>
    <row r="9" spans="1:6" ht="16.2" thickBot="1">
      <c r="A9" s="458" t="s">
        <v>5</v>
      </c>
      <c r="B9" s="458"/>
      <c r="C9" s="458"/>
    </row>
    <row r="10" spans="1:6" ht="15.6" thickBot="1">
      <c r="A10" s="4" t="s">
        <v>6</v>
      </c>
      <c r="B10" s="4" t="s">
        <v>7</v>
      </c>
      <c r="C10" s="4"/>
    </row>
    <row r="11" spans="1:6" ht="15.6" thickBot="1">
      <c r="A11" s="4" t="s">
        <v>8</v>
      </c>
      <c r="B11" s="4" t="s">
        <v>9</v>
      </c>
      <c r="C11" s="4"/>
    </row>
    <row r="12" spans="1:6" ht="30.6" thickBot="1">
      <c r="A12" s="4" t="s">
        <v>10</v>
      </c>
      <c r="B12" s="4" t="s">
        <v>11</v>
      </c>
      <c r="C12" s="4"/>
    </row>
    <row r="13" spans="1:6" ht="54" customHeight="1" thickBot="1">
      <c r="A13" s="4" t="s">
        <v>12</v>
      </c>
      <c r="B13" s="4" t="s">
        <v>13</v>
      </c>
      <c r="C13" s="7" t="s">
        <v>126</v>
      </c>
    </row>
    <row r="14" spans="1:6" ht="16.2" thickBot="1">
      <c r="A14" s="4" t="s">
        <v>14</v>
      </c>
      <c r="B14" s="4" t="s">
        <v>15</v>
      </c>
      <c r="C14" s="7" t="s">
        <v>16</v>
      </c>
    </row>
    <row r="15" spans="1:6" ht="31.2" thickBot="1">
      <c r="A15" s="4" t="s">
        <v>17</v>
      </c>
      <c r="B15" s="4" t="s">
        <v>18</v>
      </c>
      <c r="C15" s="85">
        <v>1</v>
      </c>
    </row>
    <row r="16" spans="1:6" ht="18" thickBot="1">
      <c r="A16" s="4" t="s">
        <v>19</v>
      </c>
      <c r="B16" s="4" t="s">
        <v>20</v>
      </c>
      <c r="C16" s="8">
        <v>12</v>
      </c>
    </row>
    <row r="17" spans="1:4" ht="15.6">
      <c r="A17" s="459" t="s">
        <v>21</v>
      </c>
      <c r="B17" s="459"/>
      <c r="C17" s="459"/>
    </row>
    <row r="18" spans="1:4" ht="15.6">
      <c r="A18" s="459" t="s">
        <v>22</v>
      </c>
      <c r="B18" s="459"/>
      <c r="C18" s="459"/>
    </row>
    <row r="19" spans="1:4" ht="15.6">
      <c r="A19" s="459" t="s">
        <v>23</v>
      </c>
      <c r="B19" s="459"/>
      <c r="C19" s="459"/>
    </row>
    <row r="20" spans="1:4" ht="15.6">
      <c r="A20" s="9"/>
      <c r="B20" s="6"/>
      <c r="C20" s="6"/>
    </row>
    <row r="21" spans="1:4" ht="30.6">
      <c r="A21" s="10">
        <v>1</v>
      </c>
      <c r="B21" s="11" t="s">
        <v>24</v>
      </c>
      <c r="C21" s="10" t="s">
        <v>25</v>
      </c>
    </row>
    <row r="22" spans="1:4" ht="15.6">
      <c r="A22" s="12" t="s">
        <v>26</v>
      </c>
      <c r="B22" s="13"/>
      <c r="C22" s="76">
        <v>1</v>
      </c>
    </row>
    <row r="23" spans="1:4" ht="15.6">
      <c r="A23" s="9"/>
      <c r="B23" s="6"/>
      <c r="C23" s="6"/>
    </row>
    <row r="24" spans="1:4" ht="15.6">
      <c r="A24" s="14" t="s">
        <v>27</v>
      </c>
      <c r="B24" s="14"/>
      <c r="C24" s="14"/>
    </row>
    <row r="25" spans="1:4" ht="15">
      <c r="A25" s="12">
        <v>2</v>
      </c>
      <c r="B25" s="15" t="s">
        <v>28</v>
      </c>
      <c r="C25" s="16"/>
    </row>
    <row r="26" spans="1:4" ht="30">
      <c r="A26" s="12">
        <v>3</v>
      </c>
      <c r="B26" s="15" t="s">
        <v>29</v>
      </c>
      <c r="C26" s="15"/>
    </row>
    <row r="27" spans="1:4" ht="15">
      <c r="A27" s="12">
        <v>4</v>
      </c>
      <c r="B27" s="15" t="s">
        <v>30</v>
      </c>
      <c r="C27" s="15"/>
    </row>
    <row r="28" spans="1:4" ht="15.6">
      <c r="A28" s="460" t="s">
        <v>31</v>
      </c>
      <c r="B28" s="460"/>
      <c r="C28" s="460"/>
    </row>
    <row r="30" spans="1:4" ht="15.6">
      <c r="A30" s="17" t="s">
        <v>32</v>
      </c>
      <c r="B30" s="17" t="s">
        <v>33</v>
      </c>
      <c r="C30" s="10" t="s">
        <v>34</v>
      </c>
      <c r="D30" s="17" t="s">
        <v>35</v>
      </c>
    </row>
    <row r="31" spans="1:4" ht="15.6">
      <c r="A31" s="15" t="s">
        <v>36</v>
      </c>
      <c r="B31" s="18" t="s">
        <v>37</v>
      </c>
      <c r="C31" s="19">
        <v>0</v>
      </c>
      <c r="D31" s="20"/>
    </row>
    <row r="32" spans="1:4" ht="15.6">
      <c r="A32" s="15" t="s">
        <v>8</v>
      </c>
      <c r="B32" s="18" t="s">
        <v>38</v>
      </c>
      <c r="C32" s="19">
        <v>0</v>
      </c>
      <c r="D32" s="20">
        <v>0</v>
      </c>
    </row>
    <row r="33" spans="1:4" ht="15.6">
      <c r="A33" s="21"/>
      <c r="B33" s="11" t="s">
        <v>39</v>
      </c>
      <c r="C33" s="22">
        <f>SUM(C31:C32)</f>
        <v>0</v>
      </c>
      <c r="D33" s="23">
        <f>D31+D32</f>
        <v>0</v>
      </c>
    </row>
    <row r="34" spans="1:4" ht="15.6">
      <c r="A34" s="457" t="s">
        <v>40</v>
      </c>
      <c r="B34" s="457"/>
      <c r="C34" s="457"/>
      <c r="D34" s="457"/>
    </row>
    <row r="35" spans="1:4" ht="15.6">
      <c r="A35" s="461" t="s">
        <v>41</v>
      </c>
      <c r="B35" s="461"/>
      <c r="C35" s="461"/>
      <c r="D35" s="461"/>
    </row>
    <row r="36" spans="1:4" ht="15.6">
      <c r="A36" s="6"/>
      <c r="B36" s="6"/>
      <c r="C36" s="6"/>
      <c r="D36" s="6"/>
    </row>
    <row r="37" spans="1:4" ht="15.6">
      <c r="A37" s="452" t="s">
        <v>42</v>
      </c>
      <c r="B37" s="452"/>
      <c r="C37" s="24" t="s">
        <v>43</v>
      </c>
      <c r="D37" s="24" t="s">
        <v>44</v>
      </c>
    </row>
    <row r="38" spans="1:4" ht="15.6">
      <c r="A38" s="25">
        <v>1</v>
      </c>
      <c r="B38" s="26" t="s">
        <v>45</v>
      </c>
      <c r="C38" s="27">
        <v>0</v>
      </c>
      <c r="D38" s="28">
        <f t="shared" ref="D38:D45" si="0">$D$33*C38</f>
        <v>0</v>
      </c>
    </row>
    <row r="39" spans="1:4" ht="15.6">
      <c r="A39" s="25">
        <v>2</v>
      </c>
      <c r="B39" s="26" t="s">
        <v>46</v>
      </c>
      <c r="C39" s="27">
        <v>0</v>
      </c>
      <c r="D39" s="28">
        <f t="shared" si="0"/>
        <v>0</v>
      </c>
    </row>
    <row r="40" spans="1:4" ht="15.6">
      <c r="A40" s="25">
        <v>3</v>
      </c>
      <c r="B40" s="26" t="s">
        <v>47</v>
      </c>
      <c r="C40" s="27">
        <v>0</v>
      </c>
      <c r="D40" s="28">
        <f t="shared" si="0"/>
        <v>0</v>
      </c>
    </row>
    <row r="41" spans="1:4" ht="15.6">
      <c r="A41" s="25">
        <v>4</v>
      </c>
      <c r="B41" s="26" t="s">
        <v>48</v>
      </c>
      <c r="C41" s="27">
        <v>0</v>
      </c>
      <c r="D41" s="28">
        <f t="shared" si="0"/>
        <v>0</v>
      </c>
    </row>
    <row r="42" spans="1:4" ht="15.6">
      <c r="A42" s="25">
        <v>5</v>
      </c>
      <c r="B42" s="26" t="s">
        <v>49</v>
      </c>
      <c r="C42" s="27">
        <v>0</v>
      </c>
      <c r="D42" s="28">
        <f t="shared" si="0"/>
        <v>0</v>
      </c>
    </row>
    <row r="43" spans="1:4" ht="15.6">
      <c r="A43" s="25">
        <v>6</v>
      </c>
      <c r="B43" s="26" t="s">
        <v>50</v>
      </c>
      <c r="C43" s="27">
        <v>0</v>
      </c>
      <c r="D43" s="28">
        <f t="shared" si="0"/>
        <v>0</v>
      </c>
    </row>
    <row r="44" spans="1:4" ht="15.6">
      <c r="A44" s="25">
        <v>7</v>
      </c>
      <c r="B44" s="26" t="s">
        <v>51</v>
      </c>
      <c r="C44" s="27">
        <v>0</v>
      </c>
      <c r="D44" s="28">
        <f t="shared" si="0"/>
        <v>0</v>
      </c>
    </row>
    <row r="45" spans="1:4" ht="15.6">
      <c r="A45" s="25">
        <v>8</v>
      </c>
      <c r="B45" s="26" t="s">
        <v>52</v>
      </c>
      <c r="C45" s="27">
        <v>0</v>
      </c>
      <c r="D45" s="28">
        <f t="shared" si="0"/>
        <v>0</v>
      </c>
    </row>
    <row r="46" spans="1:4" ht="15.6">
      <c r="A46" s="463" t="s">
        <v>53</v>
      </c>
      <c r="B46" s="464"/>
      <c r="C46" s="29">
        <f>SUM(C38:C45)</f>
        <v>0</v>
      </c>
      <c r="D46" s="30">
        <f>SUM(D38:D45)</f>
        <v>0</v>
      </c>
    </row>
    <row r="47" spans="1:4" ht="15.6">
      <c r="A47" s="31"/>
      <c r="B47" s="31"/>
      <c r="C47" s="32"/>
      <c r="D47" s="33"/>
    </row>
    <row r="48" spans="1:4" ht="15.6">
      <c r="A48" s="463" t="s">
        <v>54</v>
      </c>
      <c r="B48" s="464"/>
      <c r="C48" s="24" t="s">
        <v>43</v>
      </c>
      <c r="D48" s="24" t="s">
        <v>44</v>
      </c>
    </row>
    <row r="49" spans="1:4" ht="15.6">
      <c r="A49" s="34">
        <v>9</v>
      </c>
      <c r="B49" s="35" t="s">
        <v>55</v>
      </c>
      <c r="C49" s="27">
        <v>0</v>
      </c>
      <c r="D49" s="28">
        <f>$D$33*C49</f>
        <v>0</v>
      </c>
    </row>
    <row r="50" spans="1:4" ht="15.6">
      <c r="A50" s="25">
        <v>10</v>
      </c>
      <c r="B50" s="26" t="s">
        <v>56</v>
      </c>
      <c r="C50" s="27">
        <v>0</v>
      </c>
      <c r="D50" s="28">
        <f t="shared" ref="D50:D56" si="1">$D$33*C50</f>
        <v>0</v>
      </c>
    </row>
    <row r="51" spans="1:4" ht="15.6">
      <c r="A51" s="25">
        <v>11</v>
      </c>
      <c r="B51" s="26" t="s">
        <v>57</v>
      </c>
      <c r="C51" s="27">
        <v>0</v>
      </c>
      <c r="D51" s="28">
        <f t="shared" si="1"/>
        <v>0</v>
      </c>
    </row>
    <row r="52" spans="1:4" ht="15.6">
      <c r="A52" s="25">
        <v>12</v>
      </c>
      <c r="B52" s="26" t="s">
        <v>58</v>
      </c>
      <c r="C52" s="27">
        <v>0</v>
      </c>
      <c r="D52" s="28">
        <f t="shared" si="1"/>
        <v>0</v>
      </c>
    </row>
    <row r="53" spans="1:4" ht="15.6">
      <c r="A53" s="25">
        <v>13</v>
      </c>
      <c r="B53" s="26" t="s">
        <v>59</v>
      </c>
      <c r="C53" s="27">
        <v>0</v>
      </c>
      <c r="D53" s="28">
        <f t="shared" si="1"/>
        <v>0</v>
      </c>
    </row>
    <row r="54" spans="1:4" ht="15.6">
      <c r="A54" s="25">
        <v>14</v>
      </c>
      <c r="B54" s="26" t="s">
        <v>60</v>
      </c>
      <c r="C54" s="27">
        <v>0</v>
      </c>
      <c r="D54" s="28">
        <f t="shared" si="1"/>
        <v>0</v>
      </c>
    </row>
    <row r="55" spans="1:4" ht="15.6">
      <c r="A55" s="25">
        <v>15</v>
      </c>
      <c r="B55" s="26" t="s">
        <v>61</v>
      </c>
      <c r="C55" s="27">
        <v>0</v>
      </c>
      <c r="D55" s="28">
        <f t="shared" si="1"/>
        <v>0</v>
      </c>
    </row>
    <row r="56" spans="1:4" ht="15.6">
      <c r="A56" s="25">
        <v>16</v>
      </c>
      <c r="B56" s="26" t="s">
        <v>62</v>
      </c>
      <c r="C56" s="27">
        <v>0</v>
      </c>
      <c r="D56" s="28">
        <f t="shared" si="1"/>
        <v>0</v>
      </c>
    </row>
    <row r="57" spans="1:4" ht="15.6">
      <c r="A57" s="463" t="s">
        <v>63</v>
      </c>
      <c r="B57" s="464"/>
      <c r="C57" s="29">
        <f>SUM(C49:C56)</f>
        <v>0</v>
      </c>
      <c r="D57" s="30">
        <f>SUM(D49:D56)</f>
        <v>0</v>
      </c>
    </row>
    <row r="58" spans="1:4" ht="15.6">
      <c r="A58" s="9"/>
      <c r="B58" s="6"/>
      <c r="C58" s="6"/>
      <c r="D58" s="6"/>
    </row>
    <row r="59" spans="1:4" ht="15.6">
      <c r="A59" s="463" t="s">
        <v>64</v>
      </c>
      <c r="B59" s="464"/>
      <c r="C59" s="24" t="s">
        <v>43</v>
      </c>
      <c r="D59" s="24" t="s">
        <v>44</v>
      </c>
    </row>
    <row r="60" spans="1:4" ht="15.6">
      <c r="A60" s="25">
        <v>17</v>
      </c>
      <c r="B60" s="26" t="s">
        <v>65</v>
      </c>
      <c r="C60" s="27">
        <v>0</v>
      </c>
      <c r="D60" s="28">
        <f>$D$33*C60</f>
        <v>0</v>
      </c>
    </row>
    <row r="61" spans="1:4" ht="15.6">
      <c r="A61" s="25">
        <v>18</v>
      </c>
      <c r="B61" s="26" t="s">
        <v>66</v>
      </c>
      <c r="C61" s="27">
        <v>0</v>
      </c>
      <c r="D61" s="28">
        <f>$D$33*C61</f>
        <v>0</v>
      </c>
    </row>
    <row r="62" spans="1:4" ht="15.6">
      <c r="A62" s="25">
        <v>19</v>
      </c>
      <c r="B62" s="26" t="s">
        <v>67</v>
      </c>
      <c r="C62" s="27">
        <v>0</v>
      </c>
      <c r="D62" s="28">
        <f>$D$33*C62</f>
        <v>0</v>
      </c>
    </row>
    <row r="63" spans="1:4" ht="15.6">
      <c r="A63" s="463" t="s">
        <v>68</v>
      </c>
      <c r="B63" s="464"/>
      <c r="C63" s="29">
        <f>C60+C61+C62</f>
        <v>0</v>
      </c>
      <c r="D63" s="30">
        <f>SUM(D60:D62)</f>
        <v>0</v>
      </c>
    </row>
    <row r="64" spans="1:4" ht="15.6">
      <c r="A64" s="6"/>
      <c r="B64" s="6"/>
      <c r="C64" s="6"/>
      <c r="D64" s="6"/>
    </row>
    <row r="65" spans="1:4" ht="15.6">
      <c r="A65" s="9"/>
      <c r="B65" s="6"/>
      <c r="C65" s="6"/>
      <c r="D65" s="6"/>
    </row>
    <row r="66" spans="1:4" ht="15.6">
      <c r="A66" s="463" t="s">
        <v>69</v>
      </c>
      <c r="B66" s="464"/>
      <c r="C66" s="36" t="s">
        <v>43</v>
      </c>
      <c r="D66" s="36" t="s">
        <v>44</v>
      </c>
    </row>
    <row r="67" spans="1:4" ht="30.6">
      <c r="A67" s="25">
        <v>20</v>
      </c>
      <c r="B67" s="37" t="s">
        <v>70</v>
      </c>
      <c r="C67" s="38">
        <f>C46*C57</f>
        <v>0</v>
      </c>
      <c r="D67" s="39">
        <f>D33*C67</f>
        <v>0</v>
      </c>
    </row>
    <row r="68" spans="1:4" ht="15.6">
      <c r="A68" s="6"/>
      <c r="B68" s="40"/>
      <c r="C68" s="6"/>
      <c r="D68" s="6"/>
    </row>
    <row r="69" spans="1:4" ht="15.6">
      <c r="A69" s="463" t="s">
        <v>71</v>
      </c>
      <c r="B69" s="464"/>
      <c r="C69" s="36" t="s">
        <v>43</v>
      </c>
      <c r="D69" s="36" t="s">
        <v>44</v>
      </c>
    </row>
    <row r="70" spans="1:4" ht="30.6">
      <c r="A70" s="25">
        <v>21</v>
      </c>
      <c r="B70" s="41" t="s">
        <v>72</v>
      </c>
      <c r="C70" s="38">
        <f>C46*C60</f>
        <v>0</v>
      </c>
      <c r="D70" s="39">
        <f>D33*C70</f>
        <v>0</v>
      </c>
    </row>
    <row r="71" spans="1:4" ht="15.6">
      <c r="A71" s="6"/>
      <c r="B71" s="40"/>
      <c r="C71" s="6"/>
      <c r="D71" s="6"/>
    </row>
    <row r="72" spans="1:4" ht="15.6">
      <c r="A72" s="463"/>
      <c r="B72" s="464"/>
      <c r="C72" s="36" t="s">
        <v>43</v>
      </c>
      <c r="D72" s="36" t="s">
        <v>44</v>
      </c>
    </row>
    <row r="73" spans="1:4" ht="15.6">
      <c r="A73" s="465" t="s">
        <v>73</v>
      </c>
      <c r="B73" s="466"/>
      <c r="C73" s="38">
        <f>C46+C57+C63+C67+C70</f>
        <v>0</v>
      </c>
      <c r="D73" s="39">
        <f>D46+D57+D63+D67+D70</f>
        <v>0</v>
      </c>
    </row>
    <row r="74" spans="1:4" ht="15.6">
      <c r="A74" s="6"/>
      <c r="B74" s="6"/>
      <c r="C74" s="6"/>
      <c r="D74" s="6"/>
    </row>
    <row r="75" spans="1:4" ht="15.6">
      <c r="A75" s="467"/>
      <c r="B75" s="467"/>
      <c r="C75" s="467"/>
      <c r="D75" s="36" t="s">
        <v>44</v>
      </c>
    </row>
    <row r="76" spans="1:4" ht="15.6">
      <c r="A76" s="465" t="s">
        <v>74</v>
      </c>
      <c r="B76" s="465"/>
      <c r="C76" s="465"/>
      <c r="D76" s="28">
        <f>D33+D73</f>
        <v>0</v>
      </c>
    </row>
    <row r="78" spans="1:4" ht="15.6">
      <c r="A78" s="459" t="s">
        <v>75</v>
      </c>
      <c r="B78" s="459"/>
      <c r="C78" s="459"/>
      <c r="D78" s="459"/>
    </row>
    <row r="79" spans="1:4" ht="15.6">
      <c r="A79" s="42" t="s">
        <v>76</v>
      </c>
      <c r="B79" s="473" t="s">
        <v>77</v>
      </c>
      <c r="C79" s="473"/>
      <c r="D79" s="42" t="s">
        <v>35</v>
      </c>
    </row>
    <row r="80" spans="1:4" ht="15.6">
      <c r="A80" s="15" t="s">
        <v>6</v>
      </c>
      <c r="B80" s="468" t="s">
        <v>78</v>
      </c>
      <c r="C80" s="469"/>
      <c r="D80" s="20">
        <v>0</v>
      </c>
    </row>
    <row r="81" spans="1:4" ht="15.6">
      <c r="A81" s="15" t="s">
        <v>8</v>
      </c>
      <c r="B81" s="468" t="s">
        <v>79</v>
      </c>
      <c r="C81" s="469"/>
      <c r="D81" s="20">
        <v>0</v>
      </c>
    </row>
    <row r="82" spans="1:4" ht="15.6">
      <c r="A82" s="15" t="s">
        <v>10</v>
      </c>
      <c r="B82" s="468" t="s">
        <v>80</v>
      </c>
      <c r="C82" s="469"/>
      <c r="D82" s="20">
        <v>0</v>
      </c>
    </row>
    <row r="83" spans="1:4" ht="15.6">
      <c r="A83" s="15" t="s">
        <v>12</v>
      </c>
      <c r="B83" s="468" t="s">
        <v>81</v>
      </c>
      <c r="C83" s="469"/>
      <c r="D83" s="20">
        <v>0</v>
      </c>
    </row>
    <row r="84" spans="1:4" ht="15.6">
      <c r="A84" s="15" t="s">
        <v>14</v>
      </c>
      <c r="B84" s="468" t="s">
        <v>82</v>
      </c>
      <c r="C84" s="469"/>
      <c r="D84" s="20">
        <v>0</v>
      </c>
    </row>
    <row r="85" spans="1:4" ht="15.6">
      <c r="A85" s="15" t="s">
        <v>17</v>
      </c>
      <c r="B85" s="468" t="s">
        <v>83</v>
      </c>
      <c r="C85" s="469"/>
      <c r="D85" s="20">
        <v>0</v>
      </c>
    </row>
    <row r="86" spans="1:4" ht="15.75" customHeight="1">
      <c r="A86" s="21"/>
      <c r="B86" s="470" t="s">
        <v>84</v>
      </c>
      <c r="C86" s="471"/>
      <c r="D86" s="43">
        <f>D80+D81+D82+D83+D84+D85</f>
        <v>0</v>
      </c>
    </row>
    <row r="87" spans="1:4" ht="15.75" customHeight="1">
      <c r="A87" s="472" t="s">
        <v>85</v>
      </c>
      <c r="B87" s="472"/>
      <c r="C87" s="472"/>
      <c r="D87" s="472"/>
    </row>
    <row r="88" spans="1:4" ht="15.6">
      <c r="A88" s="6"/>
      <c r="B88" s="6"/>
      <c r="C88" s="6"/>
      <c r="D88" s="6"/>
    </row>
    <row r="89" spans="1:4" ht="15.6">
      <c r="A89" s="459" t="s">
        <v>86</v>
      </c>
      <c r="B89" s="459"/>
      <c r="C89" s="459"/>
      <c r="D89" s="459"/>
    </row>
    <row r="90" spans="1:4" ht="15.6">
      <c r="A90" s="459" t="s">
        <v>87</v>
      </c>
      <c r="B90" s="459"/>
      <c r="C90" s="459"/>
      <c r="D90" s="459"/>
    </row>
    <row r="91" spans="1:4" ht="15.6">
      <c r="A91" s="44"/>
      <c r="B91" s="6"/>
      <c r="C91" s="6"/>
      <c r="D91" s="6"/>
    </row>
    <row r="92" spans="1:4">
      <c r="A92" s="477" t="s">
        <v>88</v>
      </c>
      <c r="B92" s="478" t="s">
        <v>89</v>
      </c>
      <c r="C92" s="479"/>
      <c r="D92" s="482" t="s">
        <v>90</v>
      </c>
    </row>
    <row r="93" spans="1:4">
      <c r="A93" s="477"/>
      <c r="B93" s="480"/>
      <c r="C93" s="481"/>
      <c r="D93" s="482"/>
    </row>
    <row r="94" spans="1:4" ht="15.6">
      <c r="A94" s="45" t="s">
        <v>6</v>
      </c>
      <c r="B94" s="483" t="s">
        <v>33</v>
      </c>
      <c r="C94" s="483"/>
      <c r="D94" s="46">
        <f>D33</f>
        <v>0</v>
      </c>
    </row>
    <row r="95" spans="1:4" ht="15.6">
      <c r="A95" s="45" t="s">
        <v>8</v>
      </c>
      <c r="B95" s="483" t="s">
        <v>91</v>
      </c>
      <c r="C95" s="483"/>
      <c r="D95" s="46">
        <f>D73</f>
        <v>0</v>
      </c>
    </row>
    <row r="96" spans="1:4" ht="15.6">
      <c r="A96" s="45" t="s">
        <v>10</v>
      </c>
      <c r="B96" s="483" t="s">
        <v>92</v>
      </c>
      <c r="C96" s="483"/>
      <c r="D96" s="46">
        <f>D86</f>
        <v>0</v>
      </c>
    </row>
    <row r="97" spans="1:10" ht="15.6">
      <c r="A97" s="47"/>
      <c r="B97" s="484" t="s">
        <v>93</v>
      </c>
      <c r="C97" s="484"/>
      <c r="D97" s="48">
        <f>D94+D95+D96</f>
        <v>0</v>
      </c>
    </row>
    <row r="98" spans="1:10" ht="15.6">
      <c r="A98" s="6"/>
      <c r="B98" s="6"/>
      <c r="C98" s="6"/>
      <c r="D98" s="6"/>
    </row>
    <row r="99" spans="1:10" ht="15.6">
      <c r="A99" s="459" t="s">
        <v>94</v>
      </c>
      <c r="B99" s="459"/>
      <c r="C99" s="459"/>
      <c r="D99" s="459"/>
      <c r="E99" s="9"/>
    </row>
    <row r="100" spans="1:10" ht="15.6">
      <c r="A100" s="44"/>
      <c r="B100" s="44"/>
      <c r="C100" s="44"/>
      <c r="D100" s="44"/>
      <c r="E100" s="44"/>
    </row>
    <row r="101" spans="1:10" ht="15.6">
      <c r="A101" s="459" t="s">
        <v>95</v>
      </c>
      <c r="B101" s="459"/>
      <c r="C101" s="459"/>
      <c r="D101" s="459"/>
      <c r="E101" s="9"/>
    </row>
    <row r="102" spans="1:10" ht="15.6">
      <c r="A102" s="49"/>
      <c r="B102" s="49"/>
      <c r="C102" s="49"/>
      <c r="D102" s="49"/>
      <c r="E102" s="9"/>
    </row>
    <row r="103" spans="1:10" ht="15.6">
      <c r="A103" s="50"/>
      <c r="B103" s="51" t="s">
        <v>96</v>
      </c>
      <c r="C103" s="52" t="s">
        <v>43</v>
      </c>
      <c r="D103" s="53" t="s">
        <v>97</v>
      </c>
      <c r="E103" s="6"/>
    </row>
    <row r="104" spans="1:10" ht="15.6">
      <c r="A104" s="15" t="s">
        <v>6</v>
      </c>
      <c r="B104" s="15" t="s">
        <v>98</v>
      </c>
      <c r="C104" s="54">
        <v>0</v>
      </c>
      <c r="D104" s="101">
        <f>D97*C104</f>
        <v>0</v>
      </c>
      <c r="E104" s="6"/>
    </row>
    <row r="105" spans="1:10" ht="15.6">
      <c r="A105" s="15" t="s">
        <v>8</v>
      </c>
      <c r="B105" s="15" t="s">
        <v>99</v>
      </c>
      <c r="C105" s="54">
        <v>0</v>
      </c>
      <c r="D105" s="101">
        <f>(D97+D104)*C105</f>
        <v>0</v>
      </c>
      <c r="E105" s="6"/>
      <c r="G105" s="55"/>
    </row>
    <row r="106" spans="1:10" ht="15.6">
      <c r="A106" s="50"/>
      <c r="B106" s="56" t="s">
        <v>100</v>
      </c>
      <c r="C106" s="57">
        <f>SUM(C104:C105)</f>
        <v>0</v>
      </c>
      <c r="D106" s="102">
        <f>D104+D105</f>
        <v>0</v>
      </c>
      <c r="E106" s="6"/>
      <c r="G106" s="58"/>
    </row>
    <row r="107" spans="1:10">
      <c r="D107" s="103" t="s">
        <v>134</v>
      </c>
    </row>
    <row r="108" spans="1:10" ht="15.6">
      <c r="A108" s="459" t="s">
        <v>101</v>
      </c>
      <c r="B108" s="459"/>
      <c r="C108" s="459"/>
      <c r="D108" s="459"/>
    </row>
    <row r="109" spans="1:10" ht="15.6">
      <c r="A109" s="51"/>
      <c r="B109" s="52" t="s">
        <v>102</v>
      </c>
      <c r="C109" s="59" t="s">
        <v>43</v>
      </c>
      <c r="D109" s="52" t="s">
        <v>97</v>
      </c>
    </row>
    <row r="110" spans="1:10" ht="18">
      <c r="A110" s="60" t="s">
        <v>6</v>
      </c>
      <c r="B110" s="474" t="s">
        <v>103</v>
      </c>
      <c r="C110" s="475"/>
      <c r="D110" s="476"/>
      <c r="H110" s="485"/>
      <c r="I110" s="485"/>
      <c r="J110" s="485"/>
    </row>
    <row r="111" spans="1:10" ht="15">
      <c r="A111" s="12"/>
      <c r="B111" s="15" t="s">
        <v>104</v>
      </c>
      <c r="C111" s="61">
        <v>0</v>
      </c>
      <c r="D111" s="101">
        <f>($D$97+D106)/$C116*C111</f>
        <v>0</v>
      </c>
      <c r="H111" s="486"/>
      <c r="I111" s="486"/>
      <c r="J111" s="486"/>
    </row>
    <row r="112" spans="1:10" ht="15.6">
      <c r="A112" s="12"/>
      <c r="B112" s="18" t="s">
        <v>105</v>
      </c>
      <c r="C112" s="61">
        <v>0</v>
      </c>
      <c r="D112" s="101">
        <f>($D$97+D106)/C116*C112</f>
        <v>0</v>
      </c>
      <c r="E112" s="62"/>
    </row>
    <row r="113" spans="1:5" ht="15.6">
      <c r="A113" s="60" t="s">
        <v>8</v>
      </c>
      <c r="B113" s="487" t="s">
        <v>106</v>
      </c>
      <c r="C113" s="488"/>
      <c r="D113" s="489"/>
      <c r="E113" s="63"/>
    </row>
    <row r="114" spans="1:5" ht="15">
      <c r="A114" s="12"/>
      <c r="B114" s="15" t="s">
        <v>107</v>
      </c>
      <c r="C114" s="61">
        <v>0</v>
      </c>
      <c r="D114" s="94">
        <f>($D$97+D106)/C116*C114</f>
        <v>0</v>
      </c>
      <c r="E114" s="62"/>
    </row>
    <row r="115" spans="1:5" ht="15.6">
      <c r="A115" s="56"/>
      <c r="B115" s="56" t="s">
        <v>108</v>
      </c>
      <c r="C115" s="64">
        <f>SUM(C111,C112,C114)</f>
        <v>0</v>
      </c>
      <c r="D115" s="65">
        <f>D111+D112+D114</f>
        <v>0</v>
      </c>
      <c r="E115" s="66"/>
    </row>
    <row r="116" spans="1:5" ht="15.6">
      <c r="A116" s="67"/>
      <c r="B116" s="68" t="s">
        <v>109</v>
      </c>
      <c r="C116" s="69">
        <f>1-(C115/100)</f>
        <v>1</v>
      </c>
      <c r="D116" s="70"/>
    </row>
    <row r="117" spans="1:5" ht="15.6">
      <c r="A117" s="67"/>
      <c r="B117" s="71"/>
      <c r="C117" s="71"/>
      <c r="D117" s="6"/>
    </row>
    <row r="118" spans="1:5" ht="15.6">
      <c r="A118" s="492" t="s">
        <v>110</v>
      </c>
      <c r="B118" s="492"/>
      <c r="C118" s="492"/>
      <c r="D118" s="492"/>
      <c r="E118" s="72"/>
    </row>
    <row r="119" spans="1:5" ht="15.6">
      <c r="A119" s="73"/>
      <c r="B119" s="74"/>
      <c r="C119" s="74"/>
      <c r="D119" s="74"/>
      <c r="E119" s="6"/>
    </row>
    <row r="120" spans="1:5" ht="15.6">
      <c r="A120" s="75"/>
      <c r="B120" s="473" t="s">
        <v>111</v>
      </c>
      <c r="C120" s="473"/>
      <c r="D120" s="473"/>
      <c r="E120" s="6"/>
    </row>
    <row r="121" spans="1:5" ht="15.6">
      <c r="A121" s="15"/>
      <c r="B121" s="494" t="s">
        <v>112</v>
      </c>
      <c r="C121" s="494"/>
      <c r="D121" s="76" t="s">
        <v>113</v>
      </c>
      <c r="E121" s="6"/>
    </row>
    <row r="122" spans="1:5" ht="15.6">
      <c r="A122" s="77" t="s">
        <v>6</v>
      </c>
      <c r="B122" s="495" t="s">
        <v>114</v>
      </c>
      <c r="C122" s="495"/>
      <c r="D122" s="97">
        <f>D97</f>
        <v>0</v>
      </c>
      <c r="E122" s="6"/>
    </row>
    <row r="123" spans="1:5" ht="15.6">
      <c r="A123" s="78" t="s">
        <v>8</v>
      </c>
      <c r="B123" s="495" t="s">
        <v>115</v>
      </c>
      <c r="C123" s="495"/>
      <c r="D123" s="97">
        <f>D106</f>
        <v>0</v>
      </c>
      <c r="E123" s="6"/>
    </row>
    <row r="124" spans="1:5" ht="15.6">
      <c r="A124" s="78" t="s">
        <v>10</v>
      </c>
      <c r="B124" s="495" t="s">
        <v>116</v>
      </c>
      <c r="C124" s="495"/>
      <c r="D124" s="97">
        <f>D115</f>
        <v>0</v>
      </c>
      <c r="E124" s="6"/>
    </row>
    <row r="125" spans="1:5" ht="15.6">
      <c r="A125" s="77" t="s">
        <v>12</v>
      </c>
      <c r="B125" s="490" t="s">
        <v>117</v>
      </c>
      <c r="C125" s="490"/>
      <c r="D125" s="98">
        <f>SUM(D122:D124)</f>
        <v>0</v>
      </c>
      <c r="E125" s="6"/>
    </row>
    <row r="126" spans="1:5" ht="15.6">
      <c r="A126" s="77" t="s">
        <v>14</v>
      </c>
      <c r="B126" s="84" t="s">
        <v>129</v>
      </c>
      <c r="C126" s="84"/>
      <c r="D126" s="98">
        <f>D125*2</f>
        <v>0</v>
      </c>
      <c r="E126" s="6"/>
    </row>
    <row r="127" spans="1:5" ht="15.6">
      <c r="A127" s="78" t="s">
        <v>17</v>
      </c>
      <c r="B127" s="491" t="s">
        <v>118</v>
      </c>
      <c r="C127" s="491"/>
      <c r="D127" s="100">
        <f>D126*C15</f>
        <v>0</v>
      </c>
      <c r="E127" s="6"/>
    </row>
    <row r="128" spans="1:5" ht="30.6">
      <c r="A128" s="78" t="s">
        <v>19</v>
      </c>
      <c r="B128" s="79" t="s">
        <v>119</v>
      </c>
      <c r="C128" s="80"/>
      <c r="D128" s="99">
        <f>D127*12</f>
        <v>0</v>
      </c>
      <c r="E128" s="6"/>
    </row>
    <row r="129" spans="1:5" ht="16.2" thickBot="1">
      <c r="A129" s="6"/>
      <c r="B129" s="6"/>
      <c r="C129" s="6"/>
      <c r="D129" s="93"/>
      <c r="E129" s="6"/>
    </row>
    <row r="130" spans="1:5" ht="23.25" customHeight="1">
      <c r="A130" s="90"/>
      <c r="B130" s="493" t="s">
        <v>120</v>
      </c>
      <c r="C130" s="493"/>
      <c r="D130" s="493"/>
      <c r="E130" s="493"/>
    </row>
    <row r="131" spans="1:5" ht="19.5" customHeight="1">
      <c r="A131" s="86"/>
      <c r="B131" s="89" t="s">
        <v>121</v>
      </c>
      <c r="C131" s="81" t="s">
        <v>122</v>
      </c>
      <c r="D131" s="81" t="s">
        <v>130</v>
      </c>
      <c r="E131" s="81" t="s">
        <v>123</v>
      </c>
    </row>
    <row r="132" spans="1:5" ht="19.5" customHeight="1">
      <c r="A132" s="87"/>
      <c r="B132" s="89" t="s">
        <v>128</v>
      </c>
      <c r="C132" s="82" t="s">
        <v>131</v>
      </c>
      <c r="D132" s="81">
        <v>1</v>
      </c>
      <c r="E132" s="95">
        <f>D126*D132</f>
        <v>0</v>
      </c>
    </row>
    <row r="133" spans="1:5" ht="15.6">
      <c r="A133" s="87"/>
      <c r="B133" s="91" t="s">
        <v>124</v>
      </c>
      <c r="C133" s="104"/>
      <c r="D133" s="105"/>
      <c r="E133" s="95">
        <f>E132*C15</f>
        <v>0</v>
      </c>
    </row>
    <row r="134" spans="1:5" ht="44.25" customHeight="1" thickBot="1">
      <c r="A134" s="88"/>
      <c r="B134" s="92" t="s">
        <v>125</v>
      </c>
      <c r="C134" s="83"/>
      <c r="D134" s="83"/>
      <c r="E134" s="96">
        <f>E133*12</f>
        <v>0</v>
      </c>
    </row>
    <row r="135" spans="1:5" ht="15.6">
      <c r="A135" s="6"/>
      <c r="B135" s="6"/>
      <c r="C135" s="6"/>
      <c r="D135" s="6"/>
      <c r="E135" s="6"/>
    </row>
    <row r="153" spans="1:5" ht="15.6">
      <c r="A153" s="6"/>
      <c r="B153" s="6"/>
      <c r="C153" s="6"/>
      <c r="D153" s="6"/>
      <c r="E153" s="6"/>
    </row>
  </sheetData>
  <sheetProtection algorithmName="SHA-512" hashValue="Sa6fGW1HhR339u/GQiCdSMg6cqMqZr6w5Pm3r7b+BBMhz3BP21LLed5hz3R1nJvbdfYRhbQepgRBiQXpFL6qww==" saltValue="tsorHFhYQEmNOA5mMlilbw==" spinCount="100000" sheet="1" objects="1" scenarios="1"/>
  <mergeCells count="59">
    <mergeCell ref="B130:E130"/>
    <mergeCell ref="B120:D120"/>
    <mergeCell ref="B121:C121"/>
    <mergeCell ref="B122:C122"/>
    <mergeCell ref="B123:C123"/>
    <mergeCell ref="B124:C124"/>
    <mergeCell ref="H110:J110"/>
    <mergeCell ref="H111:J111"/>
    <mergeCell ref="B113:D113"/>
    <mergeCell ref="B125:C125"/>
    <mergeCell ref="B127:C127"/>
    <mergeCell ref="A118:D118"/>
    <mergeCell ref="A101:D101"/>
    <mergeCell ref="A108:D108"/>
    <mergeCell ref="B110:D110"/>
    <mergeCell ref="A92:A93"/>
    <mergeCell ref="B92:C93"/>
    <mergeCell ref="D92:D93"/>
    <mergeCell ref="B94:C94"/>
    <mergeCell ref="B95:C95"/>
    <mergeCell ref="B96:C96"/>
    <mergeCell ref="B97:C97"/>
    <mergeCell ref="A99:D99"/>
    <mergeCell ref="A87:D87"/>
    <mergeCell ref="A89:D89"/>
    <mergeCell ref="B79:C79"/>
    <mergeCell ref="B80:C80"/>
    <mergeCell ref="B81:C81"/>
    <mergeCell ref="B82:C82"/>
    <mergeCell ref="B83:C83"/>
    <mergeCell ref="A90:D90"/>
    <mergeCell ref="A78:D78"/>
    <mergeCell ref="A46:B46"/>
    <mergeCell ref="A48:B48"/>
    <mergeCell ref="A57:B57"/>
    <mergeCell ref="A59:B59"/>
    <mergeCell ref="A63:B63"/>
    <mergeCell ref="A66:B66"/>
    <mergeCell ref="A69:B69"/>
    <mergeCell ref="A72:B72"/>
    <mergeCell ref="A73:B73"/>
    <mergeCell ref="A75:C75"/>
    <mergeCell ref="A76:C76"/>
    <mergeCell ref="B84:C84"/>
    <mergeCell ref="B85:C85"/>
    <mergeCell ref="B86:C86"/>
    <mergeCell ref="A37:B37"/>
    <mergeCell ref="A1:D1"/>
    <mergeCell ref="A2:D2"/>
    <mergeCell ref="A4:D4"/>
    <mergeCell ref="A8:C8"/>
    <mergeCell ref="A9:C9"/>
    <mergeCell ref="A17:C17"/>
    <mergeCell ref="A18:C18"/>
    <mergeCell ref="A19:C19"/>
    <mergeCell ref="A28:C28"/>
    <mergeCell ref="A34:D34"/>
    <mergeCell ref="A35:D35"/>
    <mergeCell ref="B3:D3"/>
  </mergeCells>
  <pageMargins left="0.51181102362204722" right="0.51181102362204722" top="0.78740157480314965" bottom="0.78740157480314965" header="0.31496062992125984" footer="0.31496062992125984"/>
  <pageSetup paperSize="9" scale="70" orientation="portrait" r:id="rId1"/>
  <rowBreaks count="2" manualBreakCount="2">
    <brk id="58" max="4" man="1"/>
    <brk id="116" max="4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E56AE-9817-4D65-9C73-47B77245BD9C}">
  <sheetPr>
    <tabColor rgb="FF002060"/>
    <pageSetUpPr fitToPage="1"/>
  </sheetPr>
  <dimension ref="A1:G50"/>
  <sheetViews>
    <sheetView showGridLines="0" view="pageBreakPreview" zoomScale="90" zoomScaleNormal="100" zoomScaleSheetLayoutView="90" workbookViewId="0">
      <selection activeCell="H1" sqref="H1"/>
    </sheetView>
  </sheetViews>
  <sheetFormatPr defaultRowHeight="14.4"/>
  <cols>
    <col min="1" max="1" width="2" style="126" customWidth="1"/>
    <col min="2" max="2" width="65.5546875" style="126" customWidth="1"/>
    <col min="3" max="3" width="18.88671875" style="126" customWidth="1"/>
    <col min="4" max="4" width="14" style="126" customWidth="1"/>
    <col min="5" max="5" width="2.21875" style="126" customWidth="1"/>
    <col min="6" max="6" width="2" hidden="1" customWidth="1"/>
    <col min="7" max="7" width="13.33203125" customWidth="1"/>
  </cols>
  <sheetData>
    <row r="1" spans="1:6" ht="97.5" customHeight="1" thickBot="1">
      <c r="A1" s="731" t="s">
        <v>206</v>
      </c>
      <c r="B1" s="731"/>
      <c r="C1" s="731"/>
      <c r="D1" s="731"/>
      <c r="E1" s="731"/>
      <c r="F1" s="111"/>
    </row>
    <row r="2" spans="1:6" ht="18">
      <c r="A2" s="302"/>
      <c r="B2" s="637" t="s">
        <v>434</v>
      </c>
      <c r="C2" s="638"/>
      <c r="D2" s="639"/>
      <c r="E2" s="111"/>
      <c r="F2" s="111"/>
    </row>
    <row r="3" spans="1:6" ht="52.95" customHeight="1">
      <c r="A3" s="302"/>
      <c r="B3" s="732" t="s">
        <v>361</v>
      </c>
      <c r="C3" s="733"/>
      <c r="D3" s="734"/>
      <c r="E3" s="111"/>
      <c r="F3" s="111"/>
    </row>
    <row r="4" spans="1:6">
      <c r="A4" s="302"/>
      <c r="B4" s="735" t="str">
        <f>'1-RESUMO PROPOSTA'!$B$4</f>
        <v xml:space="preserve">Número do  Processo: CRQ-IV 18/26     </v>
      </c>
      <c r="C4" s="736" t="str">
        <f>'1-RESUMO PROPOSTA'!$B$4</f>
        <v xml:space="preserve">Número do  Processo: CRQ-IV 18/26     </v>
      </c>
      <c r="D4" s="737" t="str">
        <f>'1-RESUMO PROPOSTA'!$B$4</f>
        <v xml:space="preserve">Número do  Processo: CRQ-IV 18/26     </v>
      </c>
      <c r="E4" s="111"/>
      <c r="F4" s="111"/>
    </row>
    <row r="5" spans="1:6">
      <c r="A5" s="302"/>
      <c r="B5" s="316" t="str">
        <f>'1-RESUMO PROPOSTA'!$B$5</f>
        <v xml:space="preserve">Número da Licitação: Pregão Eletrônico nº 90006/2026      </v>
      </c>
      <c r="C5" s="128"/>
      <c r="D5" s="317"/>
      <c r="E5" s="111"/>
      <c r="F5" s="111"/>
    </row>
    <row r="6" spans="1:6">
      <c r="A6" s="302"/>
      <c r="B6" s="316" t="str">
        <f>CONCATENATE("Razão Social:  ",'1-RESUMO PROPOSTA'!C$8)</f>
        <v xml:space="preserve">Razão Social:  </v>
      </c>
      <c r="C6" s="128"/>
      <c r="D6" s="317"/>
      <c r="E6" s="111"/>
      <c r="F6" s="111"/>
    </row>
    <row r="7" spans="1:6" ht="22.5" customHeight="1" thickBot="1">
      <c r="A7" s="302"/>
      <c r="B7" s="738" t="str">
        <f>CONCATENATE("CNPJ:  ",'1-RESUMO PROPOSTA'!C9)</f>
        <v xml:space="preserve">CNPJ:  </v>
      </c>
      <c r="C7" s="739" t="str">
        <f>CONCATENATE("CNPJ:  ",'1-RESUMO PROPOSTA'!F9)</f>
        <v xml:space="preserve">CNPJ:  </v>
      </c>
      <c r="D7" s="740" t="str">
        <f>CONCATENATE("CNPJ:  ",'1-RESUMO PROPOSTA'!G9)</f>
        <v xml:space="preserve">CNPJ:  </v>
      </c>
      <c r="E7" s="111"/>
      <c r="F7" s="111"/>
    </row>
    <row r="8" spans="1:6">
      <c r="A8" s="303"/>
      <c r="B8" s="741" t="s">
        <v>352</v>
      </c>
      <c r="C8" s="742"/>
      <c r="D8" s="743"/>
      <c r="E8" s="303"/>
      <c r="F8" s="111"/>
    </row>
    <row r="9" spans="1:6">
      <c r="A9" s="303"/>
      <c r="B9" s="744"/>
      <c r="C9" s="745"/>
      <c r="D9" s="746"/>
      <c r="E9" s="303"/>
      <c r="F9" s="111"/>
    </row>
    <row r="10" spans="1:6" ht="28.5" customHeight="1">
      <c r="A10" s="303"/>
      <c r="B10" s="747" t="s">
        <v>353</v>
      </c>
      <c r="C10" s="748"/>
      <c r="D10" s="749"/>
      <c r="E10" s="303"/>
      <c r="F10" s="111"/>
    </row>
    <row r="11" spans="1:6" ht="22.5" customHeight="1">
      <c r="A11" s="303"/>
      <c r="B11" s="312" t="s">
        <v>137</v>
      </c>
      <c r="C11" s="750">
        <v>0</v>
      </c>
      <c r="D11" s="751"/>
      <c r="E11" s="303"/>
      <c r="F11" s="111"/>
    </row>
    <row r="12" spans="1:6" ht="22.5" customHeight="1">
      <c r="A12" s="303"/>
      <c r="B12" s="312" t="s">
        <v>354</v>
      </c>
      <c r="C12" s="752">
        <v>1</v>
      </c>
      <c r="D12" s="753"/>
      <c r="E12" s="303"/>
      <c r="F12" s="111"/>
    </row>
    <row r="13" spans="1:6" ht="22.5" customHeight="1">
      <c r="A13" s="303"/>
      <c r="B13" s="312" t="s">
        <v>355</v>
      </c>
      <c r="C13" s="752">
        <v>1</v>
      </c>
      <c r="D13" s="753"/>
      <c r="E13" s="303"/>
      <c r="F13" s="111"/>
    </row>
    <row r="14" spans="1:6" ht="22.5" customHeight="1">
      <c r="A14" s="303"/>
      <c r="B14" s="312" t="s">
        <v>138</v>
      </c>
      <c r="C14" s="752">
        <v>22</v>
      </c>
      <c r="D14" s="753"/>
      <c r="E14" s="303"/>
      <c r="F14" s="111"/>
    </row>
    <row r="15" spans="1:6" ht="22.5" customHeight="1">
      <c r="A15" s="303"/>
      <c r="B15" s="324" t="s">
        <v>136</v>
      </c>
      <c r="C15" s="729">
        <f>C11*(C12+C13)*C14</f>
        <v>0</v>
      </c>
      <c r="D15" s="730"/>
      <c r="E15" s="303"/>
      <c r="F15" s="111"/>
    </row>
    <row r="16" spans="1:6" ht="10.5" customHeight="1">
      <c r="A16" s="303"/>
      <c r="B16" s="313"/>
      <c r="C16" s="322"/>
      <c r="D16" s="323"/>
      <c r="E16" s="303"/>
      <c r="F16" s="111"/>
    </row>
    <row r="17" spans="1:6" ht="22.5" customHeight="1">
      <c r="A17" s="303"/>
      <c r="B17" s="320" t="s">
        <v>365</v>
      </c>
      <c r="C17" s="759">
        <f>'4a-CUSTOS SERVENTE AUX LIMPEZA'!D16</f>
        <v>1837.4</v>
      </c>
      <c r="D17" s="759"/>
      <c r="E17" s="303"/>
      <c r="F17" s="111"/>
    </row>
    <row r="18" spans="1:6" ht="22.5" customHeight="1">
      <c r="A18" s="303"/>
      <c r="B18" s="321" t="s">
        <v>366</v>
      </c>
      <c r="C18" s="759">
        <f>'4d-CUSTOS COPEIRA'!D16</f>
        <v>1850.07</v>
      </c>
      <c r="D18" s="759"/>
      <c r="E18" s="303"/>
      <c r="F18" s="111"/>
    </row>
    <row r="19" spans="1:6" ht="22.5" customHeight="1">
      <c r="A19" s="303"/>
      <c r="B19" s="321" t="s">
        <v>367</v>
      </c>
      <c r="C19" s="759">
        <f>'4c-CUSTOS LIDER'!D16</f>
        <v>2003.9</v>
      </c>
      <c r="D19" s="759"/>
      <c r="E19" s="303"/>
      <c r="F19" s="111"/>
    </row>
    <row r="20" spans="1:6" ht="22.5" customHeight="1">
      <c r="A20" s="303"/>
      <c r="B20" s="321" t="s">
        <v>373</v>
      </c>
      <c r="C20" s="760">
        <v>0.06</v>
      </c>
      <c r="D20" s="760"/>
      <c r="E20" s="303"/>
      <c r="F20" s="111"/>
    </row>
    <row r="21" spans="1:6" ht="12" customHeight="1">
      <c r="A21" s="303"/>
      <c r="B21" s="313"/>
      <c r="C21" s="318"/>
      <c r="D21" s="319"/>
      <c r="E21" s="303"/>
      <c r="F21" s="111"/>
    </row>
    <row r="22" spans="1:6" ht="22.5" customHeight="1">
      <c r="A22" s="303"/>
      <c r="B22" s="314" t="s">
        <v>362</v>
      </c>
      <c r="C22" s="761">
        <f>ROUND(IF(C15-(C17*C20)&lt;=0,0,C15-(C17*C20)),2)</f>
        <v>0</v>
      </c>
      <c r="D22" s="762"/>
      <c r="E22" s="303"/>
      <c r="F22" s="111"/>
    </row>
    <row r="23" spans="1:6" ht="22.5" customHeight="1">
      <c r="A23" s="303"/>
      <c r="B23" s="314" t="s">
        <v>363</v>
      </c>
      <c r="C23" s="761">
        <f>ROUND(IF(C15-(C18*C20)&lt;=0,0,C15-(C18*C20)),2)</f>
        <v>0</v>
      </c>
      <c r="D23" s="762"/>
      <c r="E23" s="303"/>
      <c r="F23" s="111"/>
    </row>
    <row r="24" spans="1:6" ht="22.5" customHeight="1" thickBot="1">
      <c r="A24" s="303"/>
      <c r="B24" s="315" t="s">
        <v>364</v>
      </c>
      <c r="C24" s="770">
        <f>ROUND(IF(C15-(C19*C20)&lt;=0,0,C15-(C19*C20)),2)</f>
        <v>0</v>
      </c>
      <c r="D24" s="771"/>
      <c r="E24" s="303"/>
      <c r="F24" s="111"/>
    </row>
    <row r="25" spans="1:6">
      <c r="A25" s="303"/>
      <c r="B25" s="303"/>
      <c r="C25" s="303"/>
      <c r="D25" s="303"/>
      <c r="E25" s="303"/>
      <c r="F25" s="111"/>
    </row>
    <row r="26" spans="1:6">
      <c r="A26" s="303"/>
      <c r="B26" s="303"/>
      <c r="C26" s="303"/>
      <c r="D26" s="303"/>
      <c r="E26" s="303"/>
      <c r="F26" s="111"/>
    </row>
    <row r="27" spans="1:6" ht="15.6">
      <c r="A27" s="303"/>
      <c r="B27" s="763" t="s">
        <v>356</v>
      </c>
      <c r="C27" s="764"/>
      <c r="D27" s="765"/>
      <c r="E27" s="303"/>
      <c r="F27" s="111"/>
    </row>
    <row r="28" spans="1:6" ht="22.5" customHeight="1">
      <c r="A28" s="303"/>
      <c r="B28" s="304" t="s">
        <v>357</v>
      </c>
      <c r="C28" s="766">
        <v>151.91</v>
      </c>
      <c r="D28" s="767"/>
      <c r="E28" s="303"/>
      <c r="F28" s="111"/>
    </row>
    <row r="29" spans="1:6" ht="22.5" customHeight="1">
      <c r="A29" s="303"/>
      <c r="B29" s="304" t="s">
        <v>372</v>
      </c>
      <c r="C29" s="768">
        <v>0</v>
      </c>
      <c r="D29" s="769"/>
      <c r="E29" s="303"/>
      <c r="F29" s="111"/>
    </row>
    <row r="30" spans="1:6" ht="20.25" customHeight="1">
      <c r="A30" s="303"/>
      <c r="B30" s="305" t="s">
        <v>139</v>
      </c>
      <c r="C30" s="761">
        <f>ROUND(C28*(1-C29),2)</f>
        <v>151.91</v>
      </c>
      <c r="D30" s="772"/>
      <c r="E30" s="303"/>
      <c r="F30" s="111"/>
    </row>
    <row r="31" spans="1:6">
      <c r="A31" s="303"/>
      <c r="B31" s="303"/>
      <c r="C31" s="303"/>
      <c r="D31" s="303"/>
      <c r="E31" s="303"/>
      <c r="F31" s="111"/>
    </row>
    <row r="32" spans="1:6">
      <c r="A32" s="303"/>
      <c r="B32" s="306"/>
      <c r="C32" s="306"/>
      <c r="D32" s="303"/>
      <c r="E32" s="303"/>
      <c r="F32" s="111"/>
    </row>
    <row r="33" spans="1:7" ht="22.5" customHeight="1">
      <c r="A33" s="303"/>
      <c r="B33" s="763" t="s">
        <v>205</v>
      </c>
      <c r="C33" s="764"/>
      <c r="D33" s="765"/>
      <c r="E33" s="303"/>
      <c r="F33" s="111"/>
    </row>
    <row r="34" spans="1:7" s="310" customFormat="1" ht="25.5" customHeight="1">
      <c r="A34" s="307"/>
      <c r="B34" s="308" t="s">
        <v>140</v>
      </c>
      <c r="C34" s="773">
        <v>21.8</v>
      </c>
      <c r="D34" s="774"/>
      <c r="E34" s="307"/>
      <c r="F34" s="309"/>
    </row>
    <row r="35" spans="1:7" s="310" customFormat="1" ht="25.5" customHeight="1">
      <c r="A35" s="307"/>
      <c r="B35" s="308" t="s">
        <v>141</v>
      </c>
      <c r="C35" s="752">
        <v>22</v>
      </c>
      <c r="D35" s="754"/>
      <c r="E35" s="307"/>
      <c r="F35" s="309"/>
    </row>
    <row r="36" spans="1:7" s="310" customFormat="1" ht="25.5" customHeight="1">
      <c r="A36" s="307"/>
      <c r="B36" s="326" t="s">
        <v>358</v>
      </c>
      <c r="C36" s="755">
        <f>C34*C35</f>
        <v>479.6</v>
      </c>
      <c r="D36" s="756"/>
      <c r="E36" s="307"/>
      <c r="F36" s="309"/>
    </row>
    <row r="37" spans="1:7" s="310" customFormat="1" ht="25.5" customHeight="1">
      <c r="A37" s="307"/>
      <c r="B37" s="308" t="s">
        <v>142</v>
      </c>
      <c r="C37" s="379">
        <f>1.46/21.8</f>
        <v>6.6972477064220173E-2</v>
      </c>
      <c r="D37" s="353">
        <f>ROUND(C34*C37,3)</f>
        <v>1.46</v>
      </c>
      <c r="E37" s="307"/>
      <c r="F37" s="309"/>
    </row>
    <row r="38" spans="1:7" s="310" customFormat="1" ht="25.5" customHeight="1">
      <c r="A38" s="307"/>
      <c r="B38" s="311" t="s">
        <v>359</v>
      </c>
      <c r="C38" s="757">
        <f>C36*C37</f>
        <v>32.119999999999997</v>
      </c>
      <c r="D38" s="758"/>
      <c r="E38" s="307"/>
      <c r="F38" s="309"/>
    </row>
    <row r="39" spans="1:7" ht="22.5" customHeight="1">
      <c r="A39" s="303"/>
      <c r="B39" s="305" t="s">
        <v>139</v>
      </c>
      <c r="C39" s="761">
        <f>ROUND(C36-C38,2)</f>
        <v>447.48</v>
      </c>
      <c r="D39" s="772"/>
      <c r="E39" s="303"/>
      <c r="F39" s="111"/>
    </row>
    <row r="40" spans="1:7">
      <c r="A40" s="303"/>
      <c r="B40" s="303"/>
      <c r="C40" s="303"/>
      <c r="D40" s="303"/>
      <c r="E40" s="303"/>
      <c r="F40" s="111"/>
    </row>
    <row r="41" spans="1:7" ht="27" customHeight="1">
      <c r="A41" s="303"/>
      <c r="B41" s="775" t="s">
        <v>360</v>
      </c>
      <c r="C41" s="776"/>
      <c r="D41" s="777"/>
      <c r="E41" s="303"/>
      <c r="F41" s="111"/>
    </row>
    <row r="42" spans="1:7" ht="27" customHeight="1">
      <c r="A42" s="303"/>
      <c r="B42" s="327" t="s">
        <v>375</v>
      </c>
      <c r="C42" s="396">
        <v>356.39</v>
      </c>
      <c r="D42" s="414">
        <f>ROUND(C42/12,2)</f>
        <v>29.7</v>
      </c>
      <c r="E42" s="303"/>
      <c r="F42" s="111"/>
    </row>
    <row r="43" spans="1:7" ht="27" customHeight="1">
      <c r="A43" s="303"/>
      <c r="B43" s="328" t="s">
        <v>376</v>
      </c>
      <c r="C43" s="778">
        <v>315</v>
      </c>
      <c r="D43" s="779"/>
      <c r="E43" s="303"/>
      <c r="F43" s="111"/>
    </row>
    <row r="44" spans="1:7" ht="27" customHeight="1">
      <c r="A44" s="303"/>
      <c r="B44" s="327" t="s">
        <v>374</v>
      </c>
      <c r="C44" s="778">
        <v>37.090000000000003</v>
      </c>
      <c r="D44" s="779"/>
      <c r="E44" s="303"/>
      <c r="F44" s="111"/>
    </row>
    <row r="45" spans="1:7" ht="27" customHeight="1">
      <c r="A45" s="303"/>
      <c r="B45" s="327" t="s">
        <v>377</v>
      </c>
      <c r="C45" s="381">
        <v>526.64</v>
      </c>
      <c r="D45" s="354">
        <f>ROUND(C45*0.2,2)</f>
        <v>105.33</v>
      </c>
      <c r="E45" s="303"/>
      <c r="F45" s="111"/>
      <c r="G45" s="451"/>
    </row>
    <row r="46" spans="1:7" ht="27" customHeight="1">
      <c r="A46" s="303"/>
      <c r="B46" s="380" t="s">
        <v>360</v>
      </c>
      <c r="C46" s="780">
        <v>0</v>
      </c>
      <c r="D46" s="780"/>
      <c r="E46" s="303"/>
      <c r="F46" s="111"/>
    </row>
    <row r="47" spans="1:7" ht="27" customHeight="1">
      <c r="A47" s="303"/>
      <c r="B47" s="305" t="s">
        <v>139</v>
      </c>
      <c r="C47" s="761">
        <f>D42+C43+C44+D45</f>
        <v>487.11999999999995</v>
      </c>
      <c r="D47" s="772"/>
      <c r="E47" s="303"/>
      <c r="F47" s="111"/>
    </row>
    <row r="48" spans="1:7">
      <c r="A48" s="303"/>
      <c r="B48" s="303"/>
      <c r="C48" s="303"/>
      <c r="D48" s="303"/>
      <c r="E48" s="303"/>
      <c r="F48" s="111"/>
    </row>
    <row r="50" spans="4:4" ht="0.6" customHeight="1">
      <c r="D50" s="364">
        <f>SUM(C22,C30,C39,C47)</f>
        <v>1086.51</v>
      </c>
    </row>
  </sheetData>
  <mergeCells count="34">
    <mergeCell ref="C39:D39"/>
    <mergeCell ref="B41:D41"/>
    <mergeCell ref="C44:D44"/>
    <mergeCell ref="C47:D47"/>
    <mergeCell ref="C43:D43"/>
    <mergeCell ref="C46:D46"/>
    <mergeCell ref="C35:D35"/>
    <mergeCell ref="C36:D36"/>
    <mergeCell ref="C38:D38"/>
    <mergeCell ref="C17:D17"/>
    <mergeCell ref="C20:D20"/>
    <mergeCell ref="C22:D22"/>
    <mergeCell ref="B27:D27"/>
    <mergeCell ref="C28:D28"/>
    <mergeCell ref="C29:D29"/>
    <mergeCell ref="C18:D18"/>
    <mergeCell ref="C19:D19"/>
    <mergeCell ref="C23:D23"/>
    <mergeCell ref="C24:D24"/>
    <mergeCell ref="C30:D30"/>
    <mergeCell ref="B33:D33"/>
    <mergeCell ref="C34:D34"/>
    <mergeCell ref="C15:D15"/>
    <mergeCell ref="A1:E1"/>
    <mergeCell ref="B2:D2"/>
    <mergeCell ref="B3:D3"/>
    <mergeCell ref="B4:D4"/>
    <mergeCell ref="B7:D7"/>
    <mergeCell ref="B8:D9"/>
    <mergeCell ref="B10:D10"/>
    <mergeCell ref="C11:D11"/>
    <mergeCell ref="C12:D12"/>
    <mergeCell ref="C13:D13"/>
    <mergeCell ref="C14:D14"/>
  </mergeCells>
  <pageMargins left="0.511811024" right="0.511811024" top="0.78740157499999996" bottom="0.78740157499999996" header="0.31496062000000002" footer="0.31496062000000002"/>
  <pageSetup paperSize="9" scale="89" fitToHeight="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251CF0-CBDB-42C6-B712-B859536E8EB6}">
  <sheetPr>
    <tabColor theme="4" tint="0.39997558519241921"/>
    <pageSetUpPr fitToPage="1"/>
  </sheetPr>
  <dimension ref="A1:J40"/>
  <sheetViews>
    <sheetView showGridLines="0" view="pageBreakPreview" zoomScale="90" zoomScaleNormal="85" zoomScaleSheetLayoutView="90" workbookViewId="0">
      <selection sqref="A1:F1"/>
    </sheetView>
  </sheetViews>
  <sheetFormatPr defaultColWidth="9.21875" defaultRowHeight="13.8"/>
  <cols>
    <col min="1" max="1" width="5.77734375" style="260" customWidth="1"/>
    <col min="2" max="2" width="120" style="260" bestFit="1" customWidth="1"/>
    <col min="3" max="3" width="12.44140625" style="260" bestFit="1" customWidth="1"/>
    <col min="4" max="4" width="12.77734375" style="260" customWidth="1"/>
    <col min="5" max="5" width="16.21875" style="260" customWidth="1"/>
    <col min="6" max="6" width="14.5546875" style="260" bestFit="1" customWidth="1"/>
    <col min="7" max="16384" width="9.21875" style="260"/>
  </cols>
  <sheetData>
    <row r="1" spans="1:10" ht="81" customHeight="1">
      <c r="A1" s="603" t="s">
        <v>206</v>
      </c>
      <c r="B1" s="603"/>
      <c r="C1" s="603"/>
      <c r="D1" s="603"/>
      <c r="E1" s="603"/>
      <c r="F1" s="603"/>
    </row>
    <row r="2" spans="1:10" ht="24" customHeight="1">
      <c r="A2" s="604" t="s">
        <v>434</v>
      </c>
      <c r="B2" s="604"/>
      <c r="C2" s="604"/>
      <c r="D2" s="604"/>
      <c r="E2" s="604"/>
      <c r="F2" s="604"/>
    </row>
    <row r="3" spans="1:10" ht="40.950000000000003" customHeight="1">
      <c r="A3" s="783" t="s">
        <v>361</v>
      </c>
      <c r="B3" s="783"/>
      <c r="C3" s="783"/>
      <c r="D3" s="783"/>
      <c r="E3" s="783"/>
      <c r="F3" s="783"/>
    </row>
    <row r="4" spans="1:10" ht="18" customHeight="1">
      <c r="A4" s="128" t="str">
        <f>'1-RESUMO PROPOSTA'!$B$4</f>
        <v xml:space="preserve">Número do  Processo: CRQ-IV 18/26     </v>
      </c>
      <c r="B4" s="128"/>
      <c r="C4" s="128"/>
      <c r="D4" s="128"/>
      <c r="E4" s="128"/>
      <c r="F4" s="128"/>
    </row>
    <row r="5" spans="1:10" ht="18" customHeight="1">
      <c r="A5" s="128" t="str">
        <f>'1-RESUMO PROPOSTA'!$B$5</f>
        <v xml:space="preserve">Número da Licitação: Pregão Eletrônico nº 90006/2026      </v>
      </c>
      <c r="B5" s="128"/>
      <c r="C5" s="128"/>
      <c r="D5" s="128"/>
      <c r="E5" s="128"/>
      <c r="F5" s="128"/>
    </row>
    <row r="6" spans="1:10" ht="18" customHeight="1">
      <c r="A6" s="128" t="str">
        <f>CONCATENATE("Razão Social:  ",'1-RESUMO PROPOSTA'!C$8)</f>
        <v xml:space="preserve">Razão Social:  </v>
      </c>
      <c r="B6" s="128"/>
      <c r="C6" s="128"/>
      <c r="D6" s="128"/>
      <c r="E6" s="128"/>
      <c r="F6" s="128"/>
    </row>
    <row r="7" spans="1:10" ht="26.25" customHeight="1">
      <c r="A7" s="129" t="str">
        <f>CONCATENATE("CNPJ:  ",'1-RESUMO PROPOSTA'!C9)</f>
        <v xml:space="preserve">CNPJ:  </v>
      </c>
      <c r="B7" s="129"/>
      <c r="C7" s="129"/>
      <c r="D7" s="129"/>
      <c r="E7" s="129"/>
      <c r="F7" s="129"/>
    </row>
    <row r="8" spans="1:10" ht="7.5" customHeight="1" thickBot="1">
      <c r="A8" s="784"/>
      <c r="B8" s="784"/>
      <c r="C8" s="784"/>
      <c r="D8" s="784"/>
      <c r="E8" s="784"/>
      <c r="F8" s="784"/>
      <c r="G8" s="261"/>
      <c r="H8" s="261"/>
      <c r="I8" s="261"/>
      <c r="J8" s="261"/>
    </row>
    <row r="9" spans="1:10" ht="30.75" customHeight="1" thickBot="1">
      <c r="A9" s="785" t="s">
        <v>339</v>
      </c>
      <c r="B9" s="786"/>
      <c r="C9" s="786"/>
      <c r="D9" s="786"/>
      <c r="E9" s="786"/>
      <c r="F9" s="787"/>
      <c r="G9" s="261"/>
      <c r="H9" s="261"/>
      <c r="I9" s="261"/>
      <c r="J9" s="261"/>
    </row>
    <row r="10" spans="1:10" ht="3" customHeight="1">
      <c r="A10" s="788"/>
      <c r="B10" s="789"/>
      <c r="C10" s="789"/>
      <c r="D10" s="789"/>
      <c r="E10" s="789"/>
      <c r="F10" s="789"/>
      <c r="G10" s="261"/>
      <c r="H10" s="261"/>
      <c r="I10" s="261"/>
      <c r="J10" s="261"/>
    </row>
    <row r="11" spans="1:10" ht="30.75" customHeight="1">
      <c r="A11" s="790" t="s">
        <v>208</v>
      </c>
      <c r="B11" s="793" t="s">
        <v>340</v>
      </c>
      <c r="C11" s="796" t="s">
        <v>383</v>
      </c>
      <c r="D11" s="796"/>
      <c r="E11" s="796"/>
      <c r="F11" s="796"/>
      <c r="G11" s="261"/>
      <c r="H11" s="261"/>
      <c r="I11" s="261"/>
      <c r="J11" s="261"/>
    </row>
    <row r="12" spans="1:10" ht="15.75" customHeight="1">
      <c r="A12" s="791"/>
      <c r="B12" s="794"/>
      <c r="C12" s="797"/>
      <c r="D12" s="797"/>
      <c r="E12" s="797"/>
      <c r="F12" s="797"/>
      <c r="G12" s="261"/>
      <c r="H12" s="261"/>
      <c r="I12" s="261"/>
      <c r="J12" s="261"/>
    </row>
    <row r="13" spans="1:10" ht="39.75" customHeight="1">
      <c r="A13" s="792"/>
      <c r="B13" s="795"/>
      <c r="C13" s="263" t="s">
        <v>341</v>
      </c>
      <c r="D13" s="263" t="s">
        <v>342</v>
      </c>
      <c r="E13" s="263" t="s">
        <v>390</v>
      </c>
      <c r="F13" s="264" t="s">
        <v>403</v>
      </c>
      <c r="G13" s="261"/>
      <c r="H13" s="261"/>
      <c r="I13" s="261"/>
      <c r="J13" s="261"/>
    </row>
    <row r="14" spans="1:10" ht="23.55" customHeight="1">
      <c r="A14" s="265">
        <v>1</v>
      </c>
      <c r="B14" s="266" t="s">
        <v>391</v>
      </c>
      <c r="C14" s="267">
        <v>5</v>
      </c>
      <c r="D14" s="382">
        <v>0</v>
      </c>
      <c r="E14" s="355">
        <f>(2+ROUND('2-EMPREGADOS X PRODUTIVIDADE'!$J$15,0))</f>
        <v>8</v>
      </c>
      <c r="F14" s="268">
        <f>C14*D14*E14</f>
        <v>0</v>
      </c>
      <c r="G14" s="330"/>
      <c r="H14" s="261"/>
      <c r="I14" s="261"/>
      <c r="J14" s="261"/>
    </row>
    <row r="15" spans="1:10" ht="23.55" customHeight="1">
      <c r="A15" s="265">
        <v>2</v>
      </c>
      <c r="B15" s="266" t="s">
        <v>388</v>
      </c>
      <c r="C15" s="270">
        <v>5</v>
      </c>
      <c r="D15" s="383">
        <v>0</v>
      </c>
      <c r="E15" s="355">
        <f>E14</f>
        <v>8</v>
      </c>
      <c r="F15" s="268">
        <f t="shared" ref="F15:F20" si="0">C15*D15*E15</f>
        <v>0</v>
      </c>
      <c r="G15" s="261"/>
      <c r="H15" s="261"/>
      <c r="I15" s="261"/>
      <c r="J15" s="261"/>
    </row>
    <row r="16" spans="1:10" ht="23.55" customHeight="1">
      <c r="A16" s="265">
        <v>3</v>
      </c>
      <c r="B16" s="266" t="s">
        <v>387</v>
      </c>
      <c r="C16" s="270">
        <v>2</v>
      </c>
      <c r="D16" s="383">
        <v>0</v>
      </c>
      <c r="E16" s="355">
        <f t="shared" ref="E16:E20" si="1">E15</f>
        <v>8</v>
      </c>
      <c r="F16" s="268">
        <f t="shared" si="0"/>
        <v>0</v>
      </c>
      <c r="G16" s="261"/>
      <c r="H16" s="448"/>
      <c r="I16" s="261"/>
      <c r="J16" s="261"/>
    </row>
    <row r="17" spans="1:10" ht="23.55" customHeight="1">
      <c r="A17" s="265">
        <v>4</v>
      </c>
      <c r="B17" s="266" t="s">
        <v>386</v>
      </c>
      <c r="C17" s="270">
        <v>3</v>
      </c>
      <c r="D17" s="383">
        <v>0</v>
      </c>
      <c r="E17" s="355">
        <f t="shared" si="1"/>
        <v>8</v>
      </c>
      <c r="F17" s="268">
        <f>C17*D17*E17</f>
        <v>0</v>
      </c>
      <c r="G17" s="261"/>
      <c r="H17" s="261"/>
      <c r="I17" s="261"/>
      <c r="J17" s="261"/>
    </row>
    <row r="18" spans="1:10" ht="23.55" customHeight="1">
      <c r="A18" s="265">
        <v>5</v>
      </c>
      <c r="B18" s="266" t="s">
        <v>385</v>
      </c>
      <c r="C18" s="270">
        <v>1</v>
      </c>
      <c r="D18" s="383">
        <v>0</v>
      </c>
      <c r="E18" s="355">
        <f t="shared" si="1"/>
        <v>8</v>
      </c>
      <c r="F18" s="268">
        <f t="shared" si="0"/>
        <v>0</v>
      </c>
      <c r="G18" s="261"/>
      <c r="H18" s="261"/>
      <c r="I18" s="261"/>
      <c r="J18" s="261"/>
    </row>
    <row r="19" spans="1:10" ht="23.55" customHeight="1">
      <c r="A19" s="265">
        <v>6</v>
      </c>
      <c r="B19" s="266" t="s">
        <v>384</v>
      </c>
      <c r="C19" s="270">
        <v>12</v>
      </c>
      <c r="D19" s="383">
        <v>0</v>
      </c>
      <c r="E19" s="355">
        <f t="shared" si="1"/>
        <v>8</v>
      </c>
      <c r="F19" s="268">
        <f>C19*D19*E19</f>
        <v>0</v>
      </c>
      <c r="G19" s="261"/>
      <c r="H19" s="261"/>
      <c r="I19" s="261"/>
      <c r="J19" s="261"/>
    </row>
    <row r="20" spans="1:10" ht="23.55" customHeight="1">
      <c r="A20" s="265">
        <v>7</v>
      </c>
      <c r="B20" s="269" t="s">
        <v>389</v>
      </c>
      <c r="C20" s="272">
        <v>1</v>
      </c>
      <c r="D20" s="384">
        <v>0</v>
      </c>
      <c r="E20" s="355">
        <f t="shared" si="1"/>
        <v>8</v>
      </c>
      <c r="F20" s="268">
        <f t="shared" si="0"/>
        <v>0</v>
      </c>
      <c r="G20" s="261"/>
      <c r="H20" s="261"/>
      <c r="I20" s="261"/>
      <c r="J20" s="261"/>
    </row>
    <row r="21" spans="1:10" ht="22.5" customHeight="1">
      <c r="A21" s="273"/>
      <c r="B21" s="261"/>
      <c r="C21" s="781" t="s">
        <v>344</v>
      </c>
      <c r="D21" s="782"/>
      <c r="E21" s="782"/>
      <c r="F21" s="276">
        <f>SUM(F14:F20)</f>
        <v>0</v>
      </c>
      <c r="G21" s="261"/>
      <c r="H21" s="261"/>
      <c r="I21" s="261"/>
      <c r="J21" s="261"/>
    </row>
    <row r="22" spans="1:10" ht="22.5" customHeight="1">
      <c r="A22" s="273"/>
      <c r="B22" s="261"/>
      <c r="C22" s="274"/>
      <c r="D22" s="275"/>
      <c r="E22" s="275" t="s">
        <v>404</v>
      </c>
      <c r="F22" s="276">
        <f>F21/12</f>
        <v>0</v>
      </c>
      <c r="G22" s="261"/>
      <c r="H22" s="261"/>
      <c r="I22" s="261"/>
      <c r="J22" s="261"/>
    </row>
    <row r="23" spans="1:10" ht="22.5" customHeight="1">
      <c r="A23" s="273"/>
      <c r="B23" s="261"/>
      <c r="C23" s="798" t="s">
        <v>345</v>
      </c>
      <c r="D23" s="799"/>
      <c r="E23" s="799"/>
      <c r="F23" s="331">
        <f>ROUND(F22/(2+ROUND('2-EMPREGADOS X PRODUTIVIDADE'!$J$15,0)),2)</f>
        <v>0</v>
      </c>
      <c r="G23" s="261"/>
      <c r="H23" s="261"/>
      <c r="I23" s="261"/>
      <c r="J23" s="261"/>
    </row>
    <row r="24" spans="1:10" ht="22.5" customHeight="1" thickBot="1">
      <c r="A24" s="277"/>
      <c r="B24" s="278"/>
      <c r="C24" s="278"/>
      <c r="D24" s="278"/>
      <c r="E24" s="278"/>
      <c r="F24" s="278"/>
      <c r="G24" s="261"/>
      <c r="H24" s="261"/>
      <c r="I24" s="261"/>
      <c r="J24" s="261"/>
    </row>
    <row r="25" spans="1:10" ht="22.5" customHeight="1">
      <c r="A25" s="261"/>
      <c r="B25" s="148"/>
      <c r="C25" s="148"/>
      <c r="D25" s="148"/>
      <c r="E25" s="148"/>
      <c r="F25" s="148"/>
      <c r="G25" s="261"/>
      <c r="H25" s="261"/>
      <c r="I25" s="261"/>
      <c r="J25" s="261"/>
    </row>
    <row r="26" spans="1:10" ht="30.75" customHeight="1">
      <c r="A26" s="790" t="s">
        <v>208</v>
      </c>
      <c r="B26" s="793" t="s">
        <v>340</v>
      </c>
      <c r="C26" s="796" t="s">
        <v>393</v>
      </c>
      <c r="D26" s="796"/>
      <c r="E26" s="796"/>
      <c r="F26" s="796"/>
      <c r="G26" s="261"/>
      <c r="H26" s="261"/>
      <c r="I26" s="261"/>
      <c r="J26" s="261"/>
    </row>
    <row r="27" spans="1:10" ht="15.75" customHeight="1">
      <c r="A27" s="791"/>
      <c r="B27" s="794"/>
      <c r="C27" s="797"/>
      <c r="D27" s="797"/>
      <c r="E27" s="797"/>
      <c r="F27" s="797"/>
      <c r="G27" s="261"/>
      <c r="H27" s="261"/>
      <c r="I27" s="261"/>
      <c r="J27" s="261"/>
    </row>
    <row r="28" spans="1:10" ht="34.950000000000003" customHeight="1">
      <c r="A28" s="792"/>
      <c r="B28" s="795"/>
      <c r="C28" s="263" t="s">
        <v>341</v>
      </c>
      <c r="D28" s="263" t="s">
        <v>342</v>
      </c>
      <c r="E28" s="263" t="s">
        <v>343</v>
      </c>
      <c r="F28" s="264" t="s">
        <v>403</v>
      </c>
      <c r="G28" s="261"/>
      <c r="H28" s="261"/>
      <c r="I28" s="261"/>
      <c r="J28" s="261"/>
    </row>
    <row r="29" spans="1:10" ht="23.55" customHeight="1">
      <c r="A29" s="265">
        <v>1</v>
      </c>
      <c r="B29" s="266" t="s">
        <v>406</v>
      </c>
      <c r="C29" s="267">
        <v>5</v>
      </c>
      <c r="D29" s="382">
        <v>0</v>
      </c>
      <c r="E29" s="356">
        <v>1</v>
      </c>
      <c r="F29" s="268">
        <f>C29*D29*E29</f>
        <v>0</v>
      </c>
      <c r="G29" s="261"/>
      <c r="H29" s="261"/>
      <c r="I29" s="261"/>
      <c r="J29" s="261"/>
    </row>
    <row r="30" spans="1:10" ht="23.55" customHeight="1">
      <c r="A30" s="265">
        <v>2</v>
      </c>
      <c r="B30" s="266" t="s">
        <v>399</v>
      </c>
      <c r="C30" s="270">
        <v>5</v>
      </c>
      <c r="D30" s="383">
        <v>0</v>
      </c>
      <c r="E30" s="357">
        <v>1</v>
      </c>
      <c r="F30" s="268">
        <f t="shared" ref="F30:F35" si="2">C30*D30*E30</f>
        <v>0</v>
      </c>
      <c r="G30" s="261"/>
      <c r="H30" s="261"/>
      <c r="I30" s="261"/>
      <c r="J30" s="261"/>
    </row>
    <row r="31" spans="1:10" ht="23.55" customHeight="1">
      <c r="A31" s="265">
        <v>3</v>
      </c>
      <c r="B31" s="266" t="s">
        <v>398</v>
      </c>
      <c r="C31" s="270">
        <v>5</v>
      </c>
      <c r="D31" s="383">
        <v>0</v>
      </c>
      <c r="E31" s="357">
        <v>1</v>
      </c>
      <c r="F31" s="268">
        <f t="shared" si="2"/>
        <v>0</v>
      </c>
      <c r="G31" s="261"/>
      <c r="H31" s="261"/>
      <c r="I31" s="261"/>
      <c r="J31" s="261"/>
    </row>
    <row r="32" spans="1:10" ht="23.55" customHeight="1">
      <c r="A32" s="265">
        <v>4</v>
      </c>
      <c r="B32" s="266" t="s">
        <v>397</v>
      </c>
      <c r="C32" s="270">
        <v>3</v>
      </c>
      <c r="D32" s="383">
        <v>0</v>
      </c>
      <c r="E32" s="357">
        <v>1</v>
      </c>
      <c r="F32" s="268">
        <f t="shared" si="2"/>
        <v>0</v>
      </c>
      <c r="G32" s="261"/>
      <c r="H32" s="261"/>
      <c r="I32" s="261"/>
      <c r="J32" s="261"/>
    </row>
    <row r="33" spans="1:10" ht="23.55" customHeight="1">
      <c r="A33" s="265">
        <v>5</v>
      </c>
      <c r="B33" s="266" t="s">
        <v>396</v>
      </c>
      <c r="C33" s="270">
        <v>2</v>
      </c>
      <c r="D33" s="383">
        <v>0</v>
      </c>
      <c r="E33" s="357">
        <v>1</v>
      </c>
      <c r="F33" s="268">
        <f t="shared" si="2"/>
        <v>0</v>
      </c>
      <c r="G33" s="261"/>
      <c r="H33" s="261"/>
      <c r="I33" s="261"/>
      <c r="J33" s="261"/>
    </row>
    <row r="34" spans="1:10" ht="23.55" customHeight="1">
      <c r="A34" s="265">
        <v>6</v>
      </c>
      <c r="B34" s="266" t="s">
        <v>395</v>
      </c>
      <c r="C34" s="270">
        <v>2</v>
      </c>
      <c r="D34" s="383">
        <v>0</v>
      </c>
      <c r="E34" s="357">
        <v>1</v>
      </c>
      <c r="F34" s="268">
        <f t="shared" si="2"/>
        <v>0</v>
      </c>
      <c r="G34" s="261"/>
      <c r="H34" s="261"/>
      <c r="I34" s="261"/>
      <c r="J34" s="261"/>
    </row>
    <row r="35" spans="1:10" ht="23.55" customHeight="1">
      <c r="A35" s="265">
        <v>7</v>
      </c>
      <c r="B35" s="269" t="s">
        <v>394</v>
      </c>
      <c r="C35" s="272">
        <v>2</v>
      </c>
      <c r="D35" s="384">
        <v>0</v>
      </c>
      <c r="E35" s="358">
        <v>1</v>
      </c>
      <c r="F35" s="268">
        <f t="shared" si="2"/>
        <v>0</v>
      </c>
      <c r="G35" s="261"/>
      <c r="H35" s="261"/>
      <c r="I35" s="261"/>
      <c r="J35" s="261"/>
    </row>
    <row r="36" spans="1:10" ht="22.5" customHeight="1">
      <c r="A36" s="273"/>
      <c r="B36" s="261"/>
      <c r="C36" s="781" t="s">
        <v>400</v>
      </c>
      <c r="D36" s="782"/>
      <c r="E36" s="782"/>
      <c r="F36" s="276">
        <f>F29</f>
        <v>0</v>
      </c>
      <c r="G36" s="261"/>
      <c r="H36" s="261"/>
      <c r="I36" s="261"/>
      <c r="J36" s="261"/>
    </row>
    <row r="37" spans="1:10" ht="22.5" customHeight="1">
      <c r="A37" s="273"/>
      <c r="B37" s="261"/>
      <c r="C37" s="798" t="s">
        <v>401</v>
      </c>
      <c r="D37" s="799"/>
      <c r="E37" s="799"/>
      <c r="F37" s="331">
        <f>ROUND(F36/12,2)</f>
        <v>0</v>
      </c>
      <c r="G37" s="261"/>
      <c r="H37" s="261"/>
      <c r="I37" s="261"/>
      <c r="J37" s="261"/>
    </row>
    <row r="38" spans="1:10" ht="22.5" customHeight="1">
      <c r="A38" s="273"/>
      <c r="B38" s="261"/>
      <c r="C38" s="781" t="s">
        <v>402</v>
      </c>
      <c r="D38" s="782"/>
      <c r="E38" s="782"/>
      <c r="F38" s="276">
        <f>SUM(F30:F35)</f>
        <v>0</v>
      </c>
      <c r="G38" s="261"/>
      <c r="H38" s="261"/>
      <c r="I38" s="261"/>
      <c r="J38" s="261"/>
    </row>
    <row r="39" spans="1:10" ht="22.5" customHeight="1">
      <c r="A39" s="273"/>
      <c r="B39" s="261"/>
      <c r="C39" s="798" t="s">
        <v>405</v>
      </c>
      <c r="D39" s="799"/>
      <c r="E39" s="799"/>
      <c r="F39" s="331">
        <f>ROUND(F38/12,2)</f>
        <v>0</v>
      </c>
      <c r="G39" s="261"/>
      <c r="H39" s="261"/>
      <c r="I39" s="261"/>
      <c r="J39" s="261"/>
    </row>
    <row r="40" spans="1:10" ht="22.5" customHeight="1" thickBot="1">
      <c r="A40" s="277"/>
      <c r="B40" s="278"/>
      <c r="C40" s="278"/>
      <c r="D40" s="278"/>
      <c r="E40" s="278"/>
      <c r="F40" s="278"/>
      <c r="G40" s="261"/>
      <c r="H40" s="261"/>
      <c r="I40" s="261"/>
      <c r="J40" s="261"/>
    </row>
  </sheetData>
  <mergeCells count="18">
    <mergeCell ref="C38:E38"/>
    <mergeCell ref="C39:E39"/>
    <mergeCell ref="C23:E23"/>
    <mergeCell ref="A26:A28"/>
    <mergeCell ref="B26:B28"/>
    <mergeCell ref="C26:F27"/>
    <mergeCell ref="C36:E36"/>
    <mergeCell ref="C37:E37"/>
    <mergeCell ref="C21:E21"/>
    <mergeCell ref="A1:F1"/>
    <mergeCell ref="A2:F2"/>
    <mergeCell ref="A3:F3"/>
    <mergeCell ref="A8:F8"/>
    <mergeCell ref="A9:F9"/>
    <mergeCell ref="A10:F10"/>
    <mergeCell ref="A11:A13"/>
    <mergeCell ref="B11:B13"/>
    <mergeCell ref="C11:F12"/>
  </mergeCells>
  <pageMargins left="0.25" right="0.25" top="0.75" bottom="0.75" header="0.3" footer="0.3"/>
  <pageSetup paperSize="9" scale="54" fitToHeight="0" orientation="portrait" horizontalDpi="1200" verticalDpi="12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2704F-BCEA-4156-9FD1-299CD8C5F224}">
  <sheetPr>
    <tabColor theme="4" tint="-0.249977111117893"/>
    <pageSetUpPr fitToPage="1"/>
  </sheetPr>
  <dimension ref="A1:L103"/>
  <sheetViews>
    <sheetView showGridLines="0" view="pageBreakPreview" zoomScale="70" zoomScaleNormal="100" zoomScaleSheetLayoutView="70" workbookViewId="0">
      <selection sqref="A1:G1"/>
    </sheetView>
  </sheetViews>
  <sheetFormatPr defaultColWidth="9.21875" defaultRowHeight="13.8"/>
  <cols>
    <col min="1" max="1" width="0.44140625" style="260" customWidth="1"/>
    <col min="2" max="2" width="5.77734375" style="260" customWidth="1"/>
    <col min="3" max="3" width="81" style="260" customWidth="1"/>
    <col min="4" max="4" width="12.33203125" style="260" bestFit="1" customWidth="1"/>
    <col min="5" max="5" width="13.109375" style="260" customWidth="1"/>
    <col min="6" max="7" width="20" style="260" customWidth="1"/>
    <col min="8" max="8" width="18.44140625" style="260" customWidth="1"/>
    <col min="9" max="16384" width="9.21875" style="260"/>
  </cols>
  <sheetData>
    <row r="1" spans="1:12" ht="88.5" customHeight="1">
      <c r="A1" s="603" t="s">
        <v>206</v>
      </c>
      <c r="B1" s="603"/>
      <c r="C1" s="603"/>
      <c r="D1" s="603"/>
      <c r="E1" s="603"/>
      <c r="F1" s="603"/>
      <c r="G1" s="603"/>
    </row>
    <row r="2" spans="1:12" ht="18">
      <c r="B2" s="604" t="s">
        <v>434</v>
      </c>
      <c r="C2" s="604"/>
      <c r="D2" s="604"/>
      <c r="E2" s="604"/>
      <c r="F2" s="604"/>
      <c r="G2" s="604"/>
    </row>
    <row r="3" spans="1:12" ht="33.450000000000003" customHeight="1">
      <c r="B3" s="634" t="s">
        <v>324</v>
      </c>
      <c r="C3" s="634"/>
      <c r="D3" s="634"/>
      <c r="E3" s="634"/>
      <c r="F3" s="634"/>
      <c r="G3" s="634"/>
    </row>
    <row r="4" spans="1:12" ht="14.4">
      <c r="B4" s="736" t="str">
        <f>'1-RESUMO PROPOSTA'!$B$4</f>
        <v xml:space="preserve">Número do  Processo: CRQ-IV 18/26     </v>
      </c>
      <c r="C4" s="736" t="str">
        <f>'1-RESUMO PROPOSTA'!$B$4</f>
        <v xml:space="preserve">Número do  Processo: CRQ-IV 18/26     </v>
      </c>
      <c r="D4" s="736" t="str">
        <f>'1-RESUMO PROPOSTA'!$B$4</f>
        <v xml:space="preserve">Número do  Processo: CRQ-IV 18/26     </v>
      </c>
      <c r="E4" s="736"/>
      <c r="F4" s="736" t="str">
        <f>'1-RESUMO PROPOSTA'!$B$4</f>
        <v xml:space="preserve">Número do  Processo: CRQ-IV 18/26     </v>
      </c>
      <c r="G4" s="736" t="str">
        <f>'1-RESUMO PROPOSTA'!$B$4</f>
        <v xml:space="preserve">Número do  Processo: CRQ-IV 18/26     </v>
      </c>
    </row>
    <row r="5" spans="1:12" ht="14.4">
      <c r="B5" s="128" t="str">
        <f>'1-RESUMO PROPOSTA'!$B$5</f>
        <v xml:space="preserve">Número da Licitação: Pregão Eletrônico nº 90006/2026      </v>
      </c>
      <c r="C5" s="128"/>
      <c r="D5" s="128"/>
      <c r="E5" s="128"/>
      <c r="F5" s="128"/>
      <c r="G5" s="128"/>
    </row>
    <row r="6" spans="1:12" ht="14.4">
      <c r="B6" s="128" t="str">
        <f>CONCATENATE("Razão Social:  ",'1-RESUMO PROPOSTA'!C$8)</f>
        <v xml:space="preserve">Razão Social:  </v>
      </c>
      <c r="C6" s="128"/>
      <c r="D6" s="128"/>
      <c r="E6" s="128"/>
      <c r="F6" s="128"/>
      <c r="G6" s="128"/>
    </row>
    <row r="7" spans="1:12" ht="14.4">
      <c r="B7" s="806" t="str">
        <f>CONCATENATE("CNPJ:  ",'1-RESUMO PROPOSTA'!C9)</f>
        <v xml:space="preserve">CNPJ:  </v>
      </c>
      <c r="C7" s="806" t="str">
        <f>CONCATENATE("CNPJ:  ",'1-RESUMO PROPOSTA'!F9)</f>
        <v xml:space="preserve">CNPJ:  </v>
      </c>
      <c r="D7" s="806" t="str">
        <f>CONCATENATE("CNPJ:  ",'1-RESUMO PROPOSTA'!G9)</f>
        <v xml:space="preserve">CNPJ:  </v>
      </c>
      <c r="E7" s="806"/>
      <c r="F7" s="806" t="str">
        <f>CONCATENATE("CNPJ:  ",'1-RESUMO PROPOSTA'!I9)</f>
        <v xml:space="preserve">CNPJ:  </v>
      </c>
      <c r="G7" s="806" t="str">
        <f>CONCATENATE("CNPJ:  ",'1-RESUMO PROPOSTA'!J9)</f>
        <v xml:space="preserve">CNPJ:  </v>
      </c>
    </row>
    <row r="8" spans="1:12" ht="13.5" customHeight="1" thickBot="1">
      <c r="A8" s="261"/>
      <c r="B8" s="261"/>
      <c r="C8" s="261"/>
      <c r="D8" s="261"/>
      <c r="E8" s="261"/>
      <c r="F8" s="261"/>
      <c r="G8" s="261"/>
      <c r="H8" s="261"/>
      <c r="I8" s="261"/>
      <c r="J8" s="261"/>
      <c r="K8" s="261"/>
      <c r="L8" s="261"/>
    </row>
    <row r="9" spans="1:12" ht="30.75" customHeight="1" thickBot="1">
      <c r="A9" s="261"/>
      <c r="B9" s="279" t="s">
        <v>425</v>
      </c>
      <c r="C9" s="280"/>
      <c r="D9" s="280"/>
      <c r="E9" s="280"/>
      <c r="F9" s="280"/>
      <c r="G9" s="280"/>
      <c r="H9" s="261"/>
      <c r="I9" s="261"/>
      <c r="J9" s="261"/>
      <c r="K9" s="261"/>
    </row>
    <row r="10" spans="1:12" ht="19.2" customHeight="1">
      <c r="A10" s="261"/>
      <c r="B10" s="273"/>
      <c r="C10" s="261"/>
      <c r="D10" s="261"/>
      <c r="E10" s="261"/>
      <c r="F10" s="261"/>
      <c r="G10" s="261"/>
      <c r="H10" s="261"/>
      <c r="I10" s="261"/>
      <c r="J10" s="261"/>
      <c r="K10" s="261"/>
    </row>
    <row r="11" spans="1:12" ht="45.6" customHeight="1">
      <c r="A11" s="261"/>
      <c r="B11" s="805" t="s">
        <v>424</v>
      </c>
      <c r="C11" s="805"/>
      <c r="D11" s="805"/>
      <c r="E11" s="805"/>
      <c r="F11" s="805"/>
      <c r="G11" s="805"/>
      <c r="H11" s="261"/>
      <c r="I11" s="261"/>
      <c r="J11" s="261"/>
      <c r="K11" s="261"/>
    </row>
    <row r="12" spans="1:12" ht="23.25" customHeight="1">
      <c r="A12" s="261"/>
      <c r="B12" s="362" t="s">
        <v>208</v>
      </c>
      <c r="C12" s="360" t="s">
        <v>209</v>
      </c>
      <c r="D12" s="263" t="s">
        <v>341</v>
      </c>
      <c r="E12" s="263" t="s">
        <v>423</v>
      </c>
      <c r="F12" s="263" t="s">
        <v>342</v>
      </c>
      <c r="G12" s="263" t="s">
        <v>346</v>
      </c>
      <c r="H12" s="261"/>
      <c r="I12" s="261"/>
      <c r="J12" s="261"/>
      <c r="K12" s="261"/>
    </row>
    <row r="13" spans="1:12" ht="20.25" customHeight="1">
      <c r="A13" s="261"/>
      <c r="B13" s="361">
        <v>1</v>
      </c>
      <c r="C13" s="388"/>
      <c r="D13" s="386"/>
      <c r="E13" s="386"/>
      <c r="F13" s="383">
        <v>0</v>
      </c>
      <c r="G13" s="271">
        <f t="shared" ref="G13:G24" si="0">D13*F13</f>
        <v>0</v>
      </c>
      <c r="H13" s="261"/>
      <c r="I13" s="261"/>
      <c r="J13" s="261"/>
      <c r="K13" s="261"/>
    </row>
    <row r="14" spans="1:12" ht="20.25" customHeight="1">
      <c r="A14" s="261"/>
      <c r="B14" s="265">
        <v>2</v>
      </c>
      <c r="C14" s="389"/>
      <c r="D14" s="386"/>
      <c r="E14" s="386"/>
      <c r="F14" s="383">
        <v>0</v>
      </c>
      <c r="G14" s="271">
        <f t="shared" si="0"/>
        <v>0</v>
      </c>
      <c r="H14" s="261"/>
      <c r="I14" s="261"/>
      <c r="J14" s="261"/>
      <c r="K14" s="261"/>
    </row>
    <row r="15" spans="1:12" ht="20.25" customHeight="1">
      <c r="A15" s="261"/>
      <c r="B15" s="265">
        <v>3</v>
      </c>
      <c r="C15" s="389"/>
      <c r="D15" s="386"/>
      <c r="E15" s="386"/>
      <c r="F15" s="383">
        <v>0</v>
      </c>
      <c r="G15" s="271">
        <f t="shared" si="0"/>
        <v>0</v>
      </c>
      <c r="H15" s="261"/>
      <c r="I15" s="261"/>
      <c r="J15" s="261"/>
      <c r="K15" s="261"/>
    </row>
    <row r="16" spans="1:12" ht="20.25" customHeight="1">
      <c r="A16" s="261"/>
      <c r="B16" s="265">
        <v>4</v>
      </c>
      <c r="C16" s="389"/>
      <c r="D16" s="386"/>
      <c r="E16" s="386"/>
      <c r="F16" s="383">
        <v>0</v>
      </c>
      <c r="G16" s="271">
        <f t="shared" si="0"/>
        <v>0</v>
      </c>
      <c r="H16" s="261"/>
      <c r="I16" s="261"/>
      <c r="J16" s="261"/>
      <c r="K16" s="261"/>
    </row>
    <row r="17" spans="1:11" ht="20.25" customHeight="1">
      <c r="A17" s="261"/>
      <c r="B17" s="265">
        <v>5</v>
      </c>
      <c r="C17" s="389"/>
      <c r="D17" s="386"/>
      <c r="E17" s="386"/>
      <c r="F17" s="383">
        <v>0</v>
      </c>
      <c r="G17" s="271">
        <f t="shared" si="0"/>
        <v>0</v>
      </c>
      <c r="H17" s="261"/>
      <c r="I17" s="261"/>
      <c r="J17" s="261"/>
      <c r="K17" s="261"/>
    </row>
    <row r="18" spans="1:11" ht="20.25" customHeight="1">
      <c r="A18" s="261"/>
      <c r="B18" s="265">
        <v>6</v>
      </c>
      <c r="C18" s="389"/>
      <c r="D18" s="386"/>
      <c r="E18" s="386"/>
      <c r="F18" s="383">
        <v>0</v>
      </c>
      <c r="G18" s="271">
        <f t="shared" si="0"/>
        <v>0</v>
      </c>
      <c r="H18" s="261"/>
      <c r="I18" s="261"/>
      <c r="J18" s="261"/>
      <c r="K18" s="261"/>
    </row>
    <row r="19" spans="1:11" ht="20.25" customHeight="1">
      <c r="A19" s="261"/>
      <c r="B19" s="265">
        <v>7</v>
      </c>
      <c r="C19" s="389"/>
      <c r="D19" s="386"/>
      <c r="E19" s="386"/>
      <c r="F19" s="383">
        <v>0</v>
      </c>
      <c r="G19" s="271">
        <f t="shared" si="0"/>
        <v>0</v>
      </c>
      <c r="H19" s="261"/>
      <c r="I19" s="261"/>
      <c r="J19" s="261"/>
      <c r="K19" s="261"/>
    </row>
    <row r="20" spans="1:11" ht="20.25" customHeight="1">
      <c r="A20" s="261"/>
      <c r="B20" s="265">
        <v>8</v>
      </c>
      <c r="C20" s="389"/>
      <c r="D20" s="386"/>
      <c r="E20" s="386"/>
      <c r="F20" s="383">
        <v>0</v>
      </c>
      <c r="G20" s="271">
        <f t="shared" si="0"/>
        <v>0</v>
      </c>
      <c r="H20" s="261"/>
      <c r="I20" s="261"/>
      <c r="J20" s="261"/>
      <c r="K20" s="261"/>
    </row>
    <row r="21" spans="1:11" ht="20.25" customHeight="1">
      <c r="A21" s="261"/>
      <c r="B21" s="265">
        <v>9</v>
      </c>
      <c r="C21" s="389"/>
      <c r="D21" s="386"/>
      <c r="E21" s="386"/>
      <c r="F21" s="383">
        <v>0</v>
      </c>
      <c r="G21" s="271">
        <f t="shared" si="0"/>
        <v>0</v>
      </c>
      <c r="H21" s="261"/>
      <c r="I21" s="261"/>
      <c r="J21" s="261"/>
      <c r="K21" s="261"/>
    </row>
    <row r="22" spans="1:11" ht="20.25" customHeight="1">
      <c r="A22" s="261"/>
      <c r="B22" s="265">
        <v>10</v>
      </c>
      <c r="C22" s="389"/>
      <c r="D22" s="386"/>
      <c r="E22" s="386"/>
      <c r="F22" s="383">
        <v>0</v>
      </c>
      <c r="G22" s="271">
        <f t="shared" si="0"/>
        <v>0</v>
      </c>
      <c r="H22" s="261"/>
      <c r="I22" s="261"/>
      <c r="J22" s="261"/>
      <c r="K22" s="261"/>
    </row>
    <row r="23" spans="1:11" ht="20.25" customHeight="1">
      <c r="A23" s="261"/>
      <c r="B23" s="265">
        <v>11</v>
      </c>
      <c r="C23" s="389"/>
      <c r="D23" s="386"/>
      <c r="E23" s="386"/>
      <c r="F23" s="383">
        <v>0</v>
      </c>
      <c r="G23" s="271">
        <f t="shared" si="0"/>
        <v>0</v>
      </c>
      <c r="H23" s="261"/>
      <c r="I23" s="261"/>
      <c r="J23" s="261"/>
      <c r="K23" s="261"/>
    </row>
    <row r="24" spans="1:11" ht="20.25" customHeight="1">
      <c r="A24" s="261"/>
      <c r="B24" s="265">
        <v>12</v>
      </c>
      <c r="C24" s="389"/>
      <c r="D24" s="386"/>
      <c r="E24" s="386"/>
      <c r="F24" s="383">
        <v>0</v>
      </c>
      <c r="G24" s="271">
        <f t="shared" si="0"/>
        <v>0</v>
      </c>
      <c r="H24" s="261"/>
      <c r="I24" s="261"/>
      <c r="J24" s="261"/>
      <c r="K24" s="261"/>
    </row>
    <row r="25" spans="1:11" ht="20.25" customHeight="1">
      <c r="A25" s="261"/>
      <c r="B25" s="265">
        <v>13</v>
      </c>
      <c r="C25" s="389"/>
      <c r="D25" s="386"/>
      <c r="E25" s="386"/>
      <c r="F25" s="383">
        <v>0</v>
      </c>
      <c r="G25" s="271">
        <f t="shared" ref="G25:G56" si="1">D25*F25</f>
        <v>0</v>
      </c>
      <c r="H25" s="261"/>
      <c r="I25" s="261"/>
      <c r="J25" s="261"/>
      <c r="K25" s="261"/>
    </row>
    <row r="26" spans="1:11" ht="20.25" customHeight="1">
      <c r="A26" s="261"/>
      <c r="B26" s="265">
        <v>14</v>
      </c>
      <c r="C26" s="389"/>
      <c r="D26" s="386"/>
      <c r="E26" s="386"/>
      <c r="F26" s="383">
        <v>0</v>
      </c>
      <c r="G26" s="271">
        <f t="shared" si="1"/>
        <v>0</v>
      </c>
      <c r="H26" s="261"/>
      <c r="I26" s="261"/>
      <c r="J26" s="261"/>
      <c r="K26" s="261"/>
    </row>
    <row r="27" spans="1:11" ht="20.25" customHeight="1">
      <c r="A27" s="261"/>
      <c r="B27" s="265">
        <v>15</v>
      </c>
      <c r="C27" s="389"/>
      <c r="D27" s="386"/>
      <c r="E27" s="386"/>
      <c r="F27" s="383">
        <v>0</v>
      </c>
      <c r="G27" s="271">
        <f t="shared" si="1"/>
        <v>0</v>
      </c>
      <c r="H27" s="261"/>
      <c r="I27" s="261"/>
      <c r="J27" s="261"/>
      <c r="K27" s="261"/>
    </row>
    <row r="28" spans="1:11" ht="20.25" customHeight="1">
      <c r="A28" s="261"/>
      <c r="B28" s="265">
        <v>16</v>
      </c>
      <c r="C28" s="389"/>
      <c r="D28" s="386"/>
      <c r="E28" s="386"/>
      <c r="F28" s="383">
        <v>0</v>
      </c>
      <c r="G28" s="271">
        <f t="shared" si="1"/>
        <v>0</v>
      </c>
      <c r="H28" s="261"/>
      <c r="I28" s="261"/>
      <c r="J28" s="261"/>
      <c r="K28" s="261"/>
    </row>
    <row r="29" spans="1:11" ht="20.25" customHeight="1">
      <c r="A29" s="261"/>
      <c r="B29" s="265">
        <v>17</v>
      </c>
      <c r="C29" s="389"/>
      <c r="D29" s="386"/>
      <c r="E29" s="386"/>
      <c r="F29" s="383">
        <v>0</v>
      </c>
      <c r="G29" s="271">
        <f t="shared" si="1"/>
        <v>0</v>
      </c>
      <c r="H29" s="261"/>
      <c r="I29" s="261"/>
      <c r="J29" s="261"/>
      <c r="K29" s="261"/>
    </row>
    <row r="30" spans="1:11" ht="20.25" customHeight="1">
      <c r="A30" s="261"/>
      <c r="B30" s="265">
        <v>18</v>
      </c>
      <c r="C30" s="389"/>
      <c r="D30" s="386"/>
      <c r="E30" s="386"/>
      <c r="F30" s="383">
        <v>0</v>
      </c>
      <c r="G30" s="271">
        <f t="shared" si="1"/>
        <v>0</v>
      </c>
      <c r="H30" s="261"/>
      <c r="I30" s="261"/>
      <c r="J30" s="261"/>
      <c r="K30" s="261"/>
    </row>
    <row r="31" spans="1:11" ht="20.25" customHeight="1">
      <c r="A31" s="261"/>
      <c r="B31" s="265">
        <v>19</v>
      </c>
      <c r="C31" s="389"/>
      <c r="D31" s="386"/>
      <c r="E31" s="386"/>
      <c r="F31" s="383">
        <v>0</v>
      </c>
      <c r="G31" s="271">
        <f t="shared" si="1"/>
        <v>0</v>
      </c>
      <c r="H31" s="261"/>
      <c r="I31" s="261"/>
      <c r="J31" s="261"/>
      <c r="K31" s="261"/>
    </row>
    <row r="32" spans="1:11" ht="20.25" customHeight="1">
      <c r="A32" s="261"/>
      <c r="B32" s="265">
        <v>20</v>
      </c>
      <c r="C32" s="389"/>
      <c r="D32" s="386"/>
      <c r="E32" s="386"/>
      <c r="F32" s="383">
        <v>0</v>
      </c>
      <c r="G32" s="271">
        <f t="shared" si="1"/>
        <v>0</v>
      </c>
      <c r="H32" s="261"/>
      <c r="I32" s="261"/>
      <c r="J32" s="261"/>
      <c r="K32" s="261"/>
    </row>
    <row r="33" spans="1:11" ht="20.25" customHeight="1">
      <c r="A33" s="261"/>
      <c r="B33" s="265">
        <v>21</v>
      </c>
      <c r="C33" s="389"/>
      <c r="D33" s="386"/>
      <c r="E33" s="386"/>
      <c r="F33" s="383">
        <v>0</v>
      </c>
      <c r="G33" s="271">
        <f t="shared" si="1"/>
        <v>0</v>
      </c>
      <c r="H33" s="261"/>
      <c r="I33" s="261"/>
      <c r="J33" s="261"/>
      <c r="K33" s="261"/>
    </row>
    <row r="34" spans="1:11" ht="20.25" customHeight="1">
      <c r="A34" s="261"/>
      <c r="B34" s="265">
        <v>22</v>
      </c>
      <c r="C34" s="389"/>
      <c r="D34" s="386"/>
      <c r="E34" s="386"/>
      <c r="F34" s="383">
        <v>0</v>
      </c>
      <c r="G34" s="271">
        <f t="shared" si="1"/>
        <v>0</v>
      </c>
      <c r="H34" s="261"/>
      <c r="I34" s="261"/>
      <c r="J34" s="261"/>
      <c r="K34" s="261"/>
    </row>
    <row r="35" spans="1:11" ht="20.25" customHeight="1">
      <c r="A35" s="261"/>
      <c r="B35" s="265">
        <v>23</v>
      </c>
      <c r="C35" s="389"/>
      <c r="D35" s="386"/>
      <c r="E35" s="386"/>
      <c r="F35" s="383">
        <v>0</v>
      </c>
      <c r="G35" s="271">
        <f t="shared" si="1"/>
        <v>0</v>
      </c>
      <c r="H35" s="261"/>
      <c r="I35" s="261"/>
      <c r="J35" s="261"/>
      <c r="K35" s="261"/>
    </row>
    <row r="36" spans="1:11" ht="20.25" customHeight="1">
      <c r="A36" s="261"/>
      <c r="B36" s="265">
        <v>24</v>
      </c>
      <c r="C36" s="389"/>
      <c r="D36" s="386"/>
      <c r="E36" s="386"/>
      <c r="F36" s="383">
        <v>0</v>
      </c>
      <c r="G36" s="271">
        <f t="shared" si="1"/>
        <v>0</v>
      </c>
      <c r="H36" s="261"/>
      <c r="I36" s="261"/>
      <c r="J36" s="261"/>
      <c r="K36" s="261"/>
    </row>
    <row r="37" spans="1:11" ht="20.25" customHeight="1">
      <c r="A37" s="261"/>
      <c r="B37" s="265">
        <v>25</v>
      </c>
      <c r="C37" s="389"/>
      <c r="D37" s="386"/>
      <c r="E37" s="386"/>
      <c r="F37" s="383">
        <v>0</v>
      </c>
      <c r="G37" s="271">
        <f t="shared" si="1"/>
        <v>0</v>
      </c>
      <c r="H37" s="261"/>
      <c r="I37" s="261"/>
      <c r="J37" s="261"/>
      <c r="K37" s="261"/>
    </row>
    <row r="38" spans="1:11" ht="20.25" customHeight="1">
      <c r="A38" s="261"/>
      <c r="B38" s="265">
        <v>26</v>
      </c>
      <c r="C38" s="389"/>
      <c r="D38" s="386"/>
      <c r="E38" s="386"/>
      <c r="F38" s="383">
        <v>0</v>
      </c>
      <c r="G38" s="271">
        <f t="shared" si="1"/>
        <v>0</v>
      </c>
      <c r="H38" s="261"/>
      <c r="I38" s="261"/>
      <c r="J38" s="261"/>
      <c r="K38" s="261"/>
    </row>
    <row r="39" spans="1:11" ht="20.25" customHeight="1">
      <c r="A39" s="261"/>
      <c r="B39" s="265">
        <v>27</v>
      </c>
      <c r="C39" s="389"/>
      <c r="D39" s="386"/>
      <c r="E39" s="386"/>
      <c r="F39" s="383">
        <v>0</v>
      </c>
      <c r="G39" s="271">
        <f t="shared" si="1"/>
        <v>0</v>
      </c>
      <c r="H39" s="261"/>
      <c r="I39" s="261"/>
      <c r="J39" s="261"/>
      <c r="K39" s="261"/>
    </row>
    <row r="40" spans="1:11" ht="20.25" customHeight="1">
      <c r="A40" s="261"/>
      <c r="B40" s="265">
        <v>28</v>
      </c>
      <c r="C40" s="389"/>
      <c r="D40" s="386"/>
      <c r="E40" s="386"/>
      <c r="F40" s="383">
        <v>0</v>
      </c>
      <c r="G40" s="271">
        <f t="shared" si="1"/>
        <v>0</v>
      </c>
      <c r="H40" s="261"/>
      <c r="I40" s="261"/>
      <c r="J40" s="261"/>
      <c r="K40" s="261"/>
    </row>
    <row r="41" spans="1:11" ht="20.25" customHeight="1">
      <c r="A41" s="261"/>
      <c r="B41" s="265">
        <v>29</v>
      </c>
      <c r="C41" s="389"/>
      <c r="D41" s="386"/>
      <c r="E41" s="386"/>
      <c r="F41" s="383">
        <v>0</v>
      </c>
      <c r="G41" s="271">
        <f t="shared" si="1"/>
        <v>0</v>
      </c>
      <c r="H41" s="261"/>
      <c r="I41" s="261"/>
      <c r="J41" s="261"/>
      <c r="K41" s="261"/>
    </row>
    <row r="42" spans="1:11" ht="20.25" customHeight="1">
      <c r="A42" s="261"/>
      <c r="B42" s="265">
        <v>30</v>
      </c>
      <c r="C42" s="389"/>
      <c r="D42" s="386"/>
      <c r="E42" s="386"/>
      <c r="F42" s="383">
        <v>0</v>
      </c>
      <c r="G42" s="271">
        <f t="shared" si="1"/>
        <v>0</v>
      </c>
      <c r="H42" s="261"/>
      <c r="I42" s="261"/>
      <c r="J42" s="261"/>
      <c r="K42" s="261"/>
    </row>
    <row r="43" spans="1:11" ht="20.25" customHeight="1">
      <c r="A43" s="261"/>
      <c r="B43" s="265">
        <v>31</v>
      </c>
      <c r="C43" s="389"/>
      <c r="D43" s="386"/>
      <c r="E43" s="386"/>
      <c r="F43" s="383">
        <v>0</v>
      </c>
      <c r="G43" s="271">
        <f t="shared" si="1"/>
        <v>0</v>
      </c>
      <c r="H43" s="261"/>
      <c r="I43" s="261"/>
      <c r="J43" s="261"/>
      <c r="K43" s="261"/>
    </row>
    <row r="44" spans="1:11" ht="20.25" customHeight="1">
      <c r="A44" s="261"/>
      <c r="B44" s="265">
        <v>32</v>
      </c>
      <c r="C44" s="389"/>
      <c r="D44" s="386"/>
      <c r="E44" s="386"/>
      <c r="F44" s="383">
        <v>0</v>
      </c>
      <c r="G44" s="271">
        <f t="shared" si="1"/>
        <v>0</v>
      </c>
      <c r="H44" s="261"/>
      <c r="I44" s="261"/>
      <c r="J44" s="261"/>
      <c r="K44" s="261"/>
    </row>
    <row r="45" spans="1:11" ht="20.25" customHeight="1">
      <c r="A45" s="261"/>
      <c r="B45" s="265">
        <v>33</v>
      </c>
      <c r="C45" s="389"/>
      <c r="D45" s="386"/>
      <c r="E45" s="386"/>
      <c r="F45" s="383">
        <v>0</v>
      </c>
      <c r="G45" s="271">
        <f t="shared" si="1"/>
        <v>0</v>
      </c>
      <c r="H45" s="261"/>
      <c r="I45" s="261"/>
      <c r="J45" s="261"/>
      <c r="K45" s="261"/>
    </row>
    <row r="46" spans="1:11" ht="20.25" customHeight="1">
      <c r="A46" s="261"/>
      <c r="B46" s="265">
        <v>34</v>
      </c>
      <c r="C46" s="389"/>
      <c r="D46" s="386"/>
      <c r="E46" s="386"/>
      <c r="F46" s="383">
        <v>0</v>
      </c>
      <c r="G46" s="271">
        <f t="shared" si="1"/>
        <v>0</v>
      </c>
      <c r="H46" s="261"/>
      <c r="I46" s="261"/>
      <c r="J46" s="261"/>
      <c r="K46" s="261"/>
    </row>
    <row r="47" spans="1:11" ht="20.25" customHeight="1">
      <c r="A47" s="261"/>
      <c r="B47" s="265">
        <v>35</v>
      </c>
      <c r="C47" s="389"/>
      <c r="D47" s="386"/>
      <c r="E47" s="386"/>
      <c r="F47" s="383">
        <v>0</v>
      </c>
      <c r="G47" s="271">
        <f t="shared" si="1"/>
        <v>0</v>
      </c>
      <c r="H47" s="261"/>
      <c r="I47" s="261"/>
      <c r="J47" s="261"/>
      <c r="K47" s="261"/>
    </row>
    <row r="48" spans="1:11" ht="20.25" customHeight="1">
      <c r="A48" s="261"/>
      <c r="B48" s="265">
        <v>36</v>
      </c>
      <c r="C48" s="389"/>
      <c r="D48" s="386"/>
      <c r="E48" s="386"/>
      <c r="F48" s="383">
        <v>0</v>
      </c>
      <c r="G48" s="271">
        <f t="shared" si="1"/>
        <v>0</v>
      </c>
      <c r="H48" s="261"/>
      <c r="I48" s="261"/>
      <c r="J48" s="261"/>
      <c r="K48" s="261"/>
    </row>
    <row r="49" spans="1:11" ht="20.25" customHeight="1">
      <c r="A49" s="261"/>
      <c r="B49" s="265">
        <v>37</v>
      </c>
      <c r="C49" s="389"/>
      <c r="D49" s="386"/>
      <c r="E49" s="386"/>
      <c r="F49" s="383">
        <v>0</v>
      </c>
      <c r="G49" s="271">
        <f t="shared" si="1"/>
        <v>0</v>
      </c>
      <c r="H49" s="261"/>
      <c r="I49" s="261"/>
      <c r="J49" s="261"/>
      <c r="K49" s="261"/>
    </row>
    <row r="50" spans="1:11" ht="20.25" customHeight="1">
      <c r="A50" s="261"/>
      <c r="B50" s="265">
        <v>38</v>
      </c>
      <c r="C50" s="389"/>
      <c r="D50" s="386"/>
      <c r="E50" s="386"/>
      <c r="F50" s="383">
        <v>0</v>
      </c>
      <c r="G50" s="271">
        <f t="shared" si="1"/>
        <v>0</v>
      </c>
      <c r="H50" s="261"/>
      <c r="I50" s="261"/>
      <c r="J50" s="261"/>
      <c r="K50" s="261"/>
    </row>
    <row r="51" spans="1:11" ht="20.25" customHeight="1">
      <c r="A51" s="261"/>
      <c r="B51" s="265">
        <v>39</v>
      </c>
      <c r="C51" s="389"/>
      <c r="D51" s="386"/>
      <c r="E51" s="386"/>
      <c r="F51" s="383">
        <v>0</v>
      </c>
      <c r="G51" s="271">
        <f t="shared" si="1"/>
        <v>0</v>
      </c>
      <c r="H51" s="261"/>
      <c r="I51" s="261"/>
      <c r="J51" s="261"/>
      <c r="K51" s="261"/>
    </row>
    <row r="52" spans="1:11" ht="20.25" customHeight="1">
      <c r="A52" s="261"/>
      <c r="B52" s="265">
        <v>40</v>
      </c>
      <c r="C52" s="389"/>
      <c r="D52" s="386"/>
      <c r="E52" s="386"/>
      <c r="F52" s="383">
        <v>0</v>
      </c>
      <c r="G52" s="271">
        <f t="shared" si="1"/>
        <v>0</v>
      </c>
      <c r="H52" s="261"/>
      <c r="I52" s="261"/>
      <c r="J52" s="261"/>
      <c r="K52" s="261"/>
    </row>
    <row r="53" spans="1:11" ht="20.25" customHeight="1">
      <c r="A53" s="261"/>
      <c r="B53" s="265">
        <v>41</v>
      </c>
      <c r="C53" s="389"/>
      <c r="D53" s="386"/>
      <c r="E53" s="386"/>
      <c r="F53" s="383">
        <v>0</v>
      </c>
      <c r="G53" s="271">
        <f t="shared" si="1"/>
        <v>0</v>
      </c>
      <c r="H53" s="261"/>
      <c r="I53" s="261"/>
      <c r="J53" s="261"/>
      <c r="K53" s="261"/>
    </row>
    <row r="54" spans="1:11" ht="20.25" customHeight="1">
      <c r="A54" s="261"/>
      <c r="B54" s="265">
        <v>42</v>
      </c>
      <c r="C54" s="389"/>
      <c r="D54" s="386"/>
      <c r="E54" s="386"/>
      <c r="F54" s="383">
        <v>0</v>
      </c>
      <c r="G54" s="271">
        <f t="shared" si="1"/>
        <v>0</v>
      </c>
      <c r="H54" s="261"/>
      <c r="I54" s="261"/>
      <c r="J54" s="261"/>
      <c r="K54" s="261"/>
    </row>
    <row r="55" spans="1:11" ht="20.25" customHeight="1">
      <c r="A55" s="261"/>
      <c r="B55" s="265">
        <v>43</v>
      </c>
      <c r="C55" s="389"/>
      <c r="D55" s="386"/>
      <c r="E55" s="386"/>
      <c r="F55" s="383">
        <v>0</v>
      </c>
      <c r="G55" s="271">
        <f t="shared" si="1"/>
        <v>0</v>
      </c>
      <c r="H55" s="261"/>
      <c r="I55" s="261"/>
      <c r="J55" s="261"/>
      <c r="K55" s="261"/>
    </row>
    <row r="56" spans="1:11" ht="20.25" customHeight="1">
      <c r="A56" s="261"/>
      <c r="B56" s="265">
        <v>44</v>
      </c>
      <c r="C56" s="389"/>
      <c r="D56" s="386"/>
      <c r="E56" s="386"/>
      <c r="F56" s="383">
        <v>0</v>
      </c>
      <c r="G56" s="271">
        <f t="shared" si="1"/>
        <v>0</v>
      </c>
      <c r="H56" s="261"/>
      <c r="I56" s="261"/>
      <c r="J56" s="261"/>
      <c r="K56" s="261"/>
    </row>
    <row r="57" spans="1:11" ht="20.25" customHeight="1">
      <c r="A57" s="261"/>
      <c r="B57" s="265">
        <v>45</v>
      </c>
      <c r="C57" s="389"/>
      <c r="D57" s="386"/>
      <c r="E57" s="386"/>
      <c r="F57" s="383">
        <v>0</v>
      </c>
      <c r="G57" s="271">
        <f t="shared" ref="G57:G62" si="2">D57*F57</f>
        <v>0</v>
      </c>
      <c r="H57" s="261"/>
      <c r="I57" s="261"/>
      <c r="J57" s="261"/>
      <c r="K57" s="261"/>
    </row>
    <row r="58" spans="1:11" ht="20.25" customHeight="1">
      <c r="A58" s="261"/>
      <c r="B58" s="265">
        <v>46</v>
      </c>
      <c r="C58" s="389"/>
      <c r="D58" s="386"/>
      <c r="E58" s="386"/>
      <c r="F58" s="383">
        <v>0</v>
      </c>
      <c r="G58" s="271">
        <f t="shared" si="2"/>
        <v>0</v>
      </c>
      <c r="H58" s="261"/>
      <c r="I58" s="261"/>
      <c r="J58" s="261"/>
      <c r="K58" s="261"/>
    </row>
    <row r="59" spans="1:11" ht="20.25" customHeight="1">
      <c r="A59" s="261"/>
      <c r="B59" s="265">
        <v>47</v>
      </c>
      <c r="C59" s="390"/>
      <c r="D59" s="386"/>
      <c r="E59" s="386"/>
      <c r="F59" s="383">
        <v>0</v>
      </c>
      <c r="G59" s="271">
        <f t="shared" si="2"/>
        <v>0</v>
      </c>
      <c r="H59" s="261"/>
      <c r="I59" s="261"/>
      <c r="J59" s="261"/>
      <c r="K59" s="261"/>
    </row>
    <row r="60" spans="1:11" ht="20.25" customHeight="1">
      <c r="A60" s="261"/>
      <c r="B60" s="265">
        <v>48</v>
      </c>
      <c r="C60" s="391"/>
      <c r="D60" s="386"/>
      <c r="E60" s="386"/>
      <c r="F60" s="383">
        <v>0</v>
      </c>
      <c r="G60" s="271">
        <f t="shared" si="2"/>
        <v>0</v>
      </c>
      <c r="H60" s="261"/>
      <c r="I60" s="261"/>
      <c r="J60" s="261"/>
      <c r="K60" s="261"/>
    </row>
    <row r="61" spans="1:11" ht="20.25" customHeight="1">
      <c r="A61" s="261"/>
      <c r="B61" s="265">
        <v>49</v>
      </c>
      <c r="C61" s="391"/>
      <c r="D61" s="386"/>
      <c r="E61" s="386"/>
      <c r="F61" s="383">
        <v>0</v>
      </c>
      <c r="G61" s="271">
        <f t="shared" si="2"/>
        <v>0</v>
      </c>
      <c r="H61" s="261"/>
      <c r="I61" s="261"/>
      <c r="J61" s="261"/>
      <c r="K61" s="261"/>
    </row>
    <row r="62" spans="1:11" ht="24" customHeight="1">
      <c r="A62" s="261"/>
      <c r="B62" s="265">
        <v>50</v>
      </c>
      <c r="C62" s="391"/>
      <c r="D62" s="386"/>
      <c r="E62" s="386"/>
      <c r="F62" s="383">
        <v>0</v>
      </c>
      <c r="G62" s="271">
        <f t="shared" si="2"/>
        <v>0</v>
      </c>
      <c r="H62" s="261"/>
      <c r="I62" s="261"/>
      <c r="J62" s="261"/>
      <c r="K62" s="261"/>
    </row>
    <row r="63" spans="1:11" ht="24" customHeight="1">
      <c r="A63" s="261"/>
      <c r="B63" s="262"/>
      <c r="C63" s="283"/>
      <c r="D63" s="807" t="s">
        <v>344</v>
      </c>
      <c r="E63" s="808"/>
      <c r="F63" s="808"/>
      <c r="G63" s="284">
        <f>SUM(G13:G62)</f>
        <v>0</v>
      </c>
      <c r="H63" s="261"/>
      <c r="I63" s="261"/>
      <c r="J63" s="261"/>
      <c r="K63" s="261"/>
    </row>
    <row r="64" spans="1:11" ht="24" customHeight="1">
      <c r="A64" s="261"/>
      <c r="B64" s="262"/>
      <c r="C64" s="283"/>
      <c r="D64" s="802" t="s">
        <v>345</v>
      </c>
      <c r="E64" s="803"/>
      <c r="F64" s="803"/>
      <c r="G64" s="285">
        <f>ROUND(G63/12/(2+ROUND('2-EMPREGADOS X PRODUTIVIDADE'!$J$15,0)),2)</f>
        <v>0</v>
      </c>
      <c r="H64" s="261"/>
      <c r="I64" s="261"/>
      <c r="J64" s="261"/>
      <c r="K64" s="261"/>
    </row>
    <row r="65" spans="1:12" ht="45" customHeight="1">
      <c r="A65" s="261"/>
      <c r="I65" s="261"/>
      <c r="J65" s="261"/>
      <c r="K65" s="261"/>
      <c r="L65" s="261"/>
    </row>
    <row r="66" spans="1:12" ht="44.4" customHeight="1">
      <c r="A66" s="261"/>
      <c r="B66" s="804" t="s">
        <v>426</v>
      </c>
      <c r="C66" s="804"/>
      <c r="D66" s="804"/>
      <c r="E66" s="804"/>
      <c r="F66" s="804"/>
      <c r="G66" s="804"/>
      <c r="H66" s="261"/>
      <c r="I66" s="261"/>
      <c r="J66" s="261"/>
      <c r="K66" s="261"/>
    </row>
    <row r="67" spans="1:12" ht="19.5" customHeight="1">
      <c r="A67" s="261"/>
      <c r="B67" s="363" t="s">
        <v>208</v>
      </c>
      <c r="C67" s="359" t="s">
        <v>209</v>
      </c>
      <c r="D67" s="286" t="s">
        <v>341</v>
      </c>
      <c r="E67" s="286" t="s">
        <v>423</v>
      </c>
      <c r="F67" s="286" t="s">
        <v>342</v>
      </c>
      <c r="G67" s="287" t="s">
        <v>347</v>
      </c>
    </row>
    <row r="68" spans="1:12" ht="22.5" customHeight="1">
      <c r="A68" s="261"/>
      <c r="B68" s="332">
        <v>1</v>
      </c>
      <c r="C68" s="385"/>
      <c r="D68" s="386"/>
      <c r="E68" s="386"/>
      <c r="F68" s="383">
        <v>0</v>
      </c>
      <c r="G68" s="271">
        <f>D68*F68</f>
        <v>0</v>
      </c>
      <c r="H68" s="261"/>
      <c r="I68" s="261"/>
      <c r="J68" s="261"/>
      <c r="K68" s="261"/>
    </row>
    <row r="69" spans="1:12" ht="22.5" customHeight="1">
      <c r="A69" s="261"/>
      <c r="B69" s="332">
        <v>2</v>
      </c>
      <c r="C69" s="385"/>
      <c r="D69" s="387"/>
      <c r="E69" s="387"/>
      <c r="F69" s="383">
        <v>0</v>
      </c>
      <c r="G69" s="271">
        <f t="shared" ref="G69:G71" si="3">D69*F69</f>
        <v>0</v>
      </c>
      <c r="H69" s="261"/>
      <c r="I69" s="261"/>
      <c r="J69" s="261"/>
      <c r="K69" s="261"/>
    </row>
    <row r="70" spans="1:12" ht="22.5" customHeight="1">
      <c r="A70" s="261"/>
      <c r="B70" s="332">
        <v>3</v>
      </c>
      <c r="C70" s="385"/>
      <c r="D70" s="387"/>
      <c r="E70" s="387"/>
      <c r="F70" s="383">
        <v>0</v>
      </c>
      <c r="G70" s="271">
        <f t="shared" si="3"/>
        <v>0</v>
      </c>
      <c r="H70" s="261"/>
      <c r="I70" s="261"/>
      <c r="J70" s="261"/>
      <c r="K70" s="261"/>
    </row>
    <row r="71" spans="1:12" ht="22.5" customHeight="1">
      <c r="A71" s="261"/>
      <c r="B71" s="332">
        <v>4</v>
      </c>
      <c r="C71" s="385"/>
      <c r="D71" s="387"/>
      <c r="E71" s="387"/>
      <c r="F71" s="383">
        <v>0</v>
      </c>
      <c r="G71" s="271">
        <f t="shared" si="3"/>
        <v>0</v>
      </c>
      <c r="H71" s="261"/>
      <c r="I71" s="261"/>
      <c r="J71" s="261"/>
      <c r="K71" s="261"/>
    </row>
    <row r="72" spans="1:12" ht="22.5" customHeight="1">
      <c r="A72" s="261"/>
      <c r="B72" s="332">
        <v>5</v>
      </c>
      <c r="C72" s="385"/>
      <c r="D72" s="387"/>
      <c r="E72" s="387"/>
      <c r="F72" s="383">
        <v>0</v>
      </c>
      <c r="G72" s="271">
        <f t="shared" ref="G72:G97" si="4">D72*F72</f>
        <v>0</v>
      </c>
      <c r="H72" s="261"/>
      <c r="I72" s="261"/>
      <c r="J72" s="261"/>
      <c r="K72" s="261"/>
    </row>
    <row r="73" spans="1:12" ht="22.5" customHeight="1">
      <c r="A73" s="261"/>
      <c r="B73" s="332">
        <v>6</v>
      </c>
      <c r="C73" s="385"/>
      <c r="D73" s="387"/>
      <c r="E73" s="387"/>
      <c r="F73" s="383">
        <v>0</v>
      </c>
      <c r="G73" s="271">
        <f t="shared" si="4"/>
        <v>0</v>
      </c>
      <c r="H73" s="261"/>
      <c r="I73" s="261"/>
      <c r="J73" s="261"/>
      <c r="K73" s="261"/>
    </row>
    <row r="74" spans="1:12" ht="22.5" customHeight="1">
      <c r="A74" s="261"/>
      <c r="B74" s="332">
        <v>7</v>
      </c>
      <c r="C74" s="385"/>
      <c r="D74" s="387"/>
      <c r="E74" s="387"/>
      <c r="F74" s="383">
        <v>0</v>
      </c>
      <c r="G74" s="271">
        <f t="shared" si="4"/>
        <v>0</v>
      </c>
      <c r="H74" s="261"/>
      <c r="I74" s="261"/>
      <c r="J74" s="261"/>
      <c r="K74" s="261"/>
    </row>
    <row r="75" spans="1:12" ht="22.5" customHeight="1">
      <c r="A75" s="261"/>
      <c r="B75" s="332">
        <v>8</v>
      </c>
      <c r="C75" s="385"/>
      <c r="D75" s="387"/>
      <c r="E75" s="387"/>
      <c r="F75" s="383">
        <v>0</v>
      </c>
      <c r="G75" s="271">
        <f t="shared" si="4"/>
        <v>0</v>
      </c>
      <c r="H75" s="261"/>
      <c r="I75" s="261"/>
      <c r="J75" s="261"/>
      <c r="K75" s="261"/>
    </row>
    <row r="76" spans="1:12" ht="22.5" customHeight="1">
      <c r="A76" s="261"/>
      <c r="B76" s="332">
        <v>9</v>
      </c>
      <c r="C76" s="385"/>
      <c r="D76" s="387"/>
      <c r="E76" s="387"/>
      <c r="F76" s="383">
        <v>0</v>
      </c>
      <c r="G76" s="271">
        <f t="shared" si="4"/>
        <v>0</v>
      </c>
      <c r="H76" s="261"/>
      <c r="I76" s="261"/>
      <c r="J76" s="261"/>
      <c r="K76" s="261"/>
    </row>
    <row r="77" spans="1:12" ht="22.5" customHeight="1">
      <c r="A77" s="261"/>
      <c r="B77" s="332">
        <v>10</v>
      </c>
      <c r="C77" s="385"/>
      <c r="D77" s="387"/>
      <c r="E77" s="387"/>
      <c r="F77" s="383">
        <v>0</v>
      </c>
      <c r="G77" s="271">
        <f t="shared" si="4"/>
        <v>0</v>
      </c>
      <c r="H77" s="261"/>
      <c r="I77" s="261"/>
      <c r="J77" s="261"/>
      <c r="K77" s="261"/>
    </row>
    <row r="78" spans="1:12" ht="22.5" customHeight="1">
      <c r="A78" s="261"/>
      <c r="B78" s="332">
        <v>11</v>
      </c>
      <c r="C78" s="385"/>
      <c r="D78" s="387"/>
      <c r="E78" s="387"/>
      <c r="F78" s="383">
        <v>0</v>
      </c>
      <c r="G78" s="271">
        <f t="shared" si="4"/>
        <v>0</v>
      </c>
      <c r="H78" s="261"/>
      <c r="I78" s="261"/>
      <c r="J78" s="261"/>
      <c r="K78" s="261"/>
    </row>
    <row r="79" spans="1:12" ht="22.5" customHeight="1">
      <c r="A79" s="261"/>
      <c r="B79" s="332">
        <v>12</v>
      </c>
      <c r="C79" s="385"/>
      <c r="D79" s="387"/>
      <c r="E79" s="387"/>
      <c r="F79" s="383">
        <v>0</v>
      </c>
      <c r="G79" s="271">
        <f t="shared" si="4"/>
        <v>0</v>
      </c>
      <c r="H79" s="261"/>
      <c r="I79" s="261"/>
      <c r="J79" s="261"/>
      <c r="K79" s="261"/>
    </row>
    <row r="80" spans="1:12" ht="22.5" customHeight="1">
      <c r="A80" s="261"/>
      <c r="B80" s="332">
        <v>13</v>
      </c>
      <c r="C80" s="385"/>
      <c r="D80" s="387"/>
      <c r="E80" s="387"/>
      <c r="F80" s="383">
        <v>0</v>
      </c>
      <c r="G80" s="271">
        <f t="shared" si="4"/>
        <v>0</v>
      </c>
      <c r="H80" s="261"/>
      <c r="I80" s="261"/>
      <c r="J80" s="261"/>
      <c r="K80" s="261"/>
    </row>
    <row r="81" spans="1:11" ht="22.5" customHeight="1">
      <c r="A81" s="261"/>
      <c r="B81" s="332">
        <v>14</v>
      </c>
      <c r="C81" s="385"/>
      <c r="D81" s="387"/>
      <c r="E81" s="387"/>
      <c r="F81" s="383">
        <v>0</v>
      </c>
      <c r="G81" s="271">
        <f t="shared" si="4"/>
        <v>0</v>
      </c>
      <c r="H81" s="261"/>
      <c r="I81" s="261"/>
      <c r="J81" s="261"/>
      <c r="K81" s="261"/>
    </row>
    <row r="82" spans="1:11" ht="22.5" customHeight="1">
      <c r="A82" s="261"/>
      <c r="B82" s="332">
        <v>15</v>
      </c>
      <c r="C82" s="385"/>
      <c r="D82" s="387"/>
      <c r="E82" s="387"/>
      <c r="F82" s="383">
        <v>0</v>
      </c>
      <c r="G82" s="271">
        <f t="shared" si="4"/>
        <v>0</v>
      </c>
      <c r="H82" s="261"/>
      <c r="I82" s="261"/>
      <c r="J82" s="261"/>
      <c r="K82" s="261"/>
    </row>
    <row r="83" spans="1:11" ht="22.5" customHeight="1">
      <c r="A83" s="261"/>
      <c r="B83" s="332">
        <v>16</v>
      </c>
      <c r="C83" s="385"/>
      <c r="D83" s="387"/>
      <c r="E83" s="387"/>
      <c r="F83" s="383">
        <v>0</v>
      </c>
      <c r="G83" s="271">
        <f t="shared" si="4"/>
        <v>0</v>
      </c>
      <c r="H83" s="261"/>
      <c r="I83" s="261"/>
      <c r="J83" s="261"/>
      <c r="K83" s="261"/>
    </row>
    <row r="84" spans="1:11" ht="22.5" customHeight="1">
      <c r="A84" s="261"/>
      <c r="B84" s="332">
        <v>17</v>
      </c>
      <c r="C84" s="385"/>
      <c r="D84" s="387"/>
      <c r="E84" s="387"/>
      <c r="F84" s="383">
        <v>0</v>
      </c>
      <c r="G84" s="271">
        <f t="shared" si="4"/>
        <v>0</v>
      </c>
      <c r="H84" s="261"/>
      <c r="I84" s="261"/>
      <c r="J84" s="261"/>
      <c r="K84" s="261"/>
    </row>
    <row r="85" spans="1:11" ht="22.5" customHeight="1">
      <c r="A85" s="261"/>
      <c r="B85" s="332">
        <v>18</v>
      </c>
      <c r="C85" s="385"/>
      <c r="D85" s="387"/>
      <c r="E85" s="387"/>
      <c r="F85" s="383">
        <v>0</v>
      </c>
      <c r="G85" s="271">
        <f t="shared" si="4"/>
        <v>0</v>
      </c>
      <c r="H85" s="261"/>
      <c r="I85" s="261"/>
      <c r="J85" s="261"/>
      <c r="K85" s="261"/>
    </row>
    <row r="86" spans="1:11" ht="22.5" customHeight="1">
      <c r="A86" s="261"/>
      <c r="B86" s="332">
        <v>19</v>
      </c>
      <c r="C86" s="385"/>
      <c r="D86" s="387"/>
      <c r="E86" s="387"/>
      <c r="F86" s="383">
        <v>0</v>
      </c>
      <c r="G86" s="271">
        <f t="shared" si="4"/>
        <v>0</v>
      </c>
      <c r="H86" s="261"/>
      <c r="I86" s="261"/>
      <c r="J86" s="261"/>
      <c r="K86" s="261"/>
    </row>
    <row r="87" spans="1:11" ht="22.5" customHeight="1">
      <c r="A87" s="261"/>
      <c r="B87" s="332">
        <v>20</v>
      </c>
      <c r="C87" s="385"/>
      <c r="D87" s="387"/>
      <c r="E87" s="387"/>
      <c r="F87" s="383">
        <v>0</v>
      </c>
      <c r="G87" s="271">
        <f t="shared" si="4"/>
        <v>0</v>
      </c>
      <c r="H87" s="261"/>
      <c r="I87" s="261"/>
      <c r="J87" s="261"/>
      <c r="K87" s="261"/>
    </row>
    <row r="88" spans="1:11" ht="22.5" customHeight="1">
      <c r="A88" s="261"/>
      <c r="B88" s="332">
        <v>21</v>
      </c>
      <c r="C88" s="385"/>
      <c r="D88" s="387"/>
      <c r="E88" s="387"/>
      <c r="F88" s="383">
        <v>0</v>
      </c>
      <c r="G88" s="271">
        <f t="shared" si="4"/>
        <v>0</v>
      </c>
      <c r="H88" s="261"/>
      <c r="I88" s="261"/>
      <c r="J88" s="261"/>
      <c r="K88" s="261"/>
    </row>
    <row r="89" spans="1:11" ht="22.5" customHeight="1">
      <c r="A89" s="261"/>
      <c r="B89" s="332">
        <v>22</v>
      </c>
      <c r="C89" s="385"/>
      <c r="D89" s="387"/>
      <c r="E89" s="387"/>
      <c r="F89" s="383">
        <v>0</v>
      </c>
      <c r="G89" s="271">
        <f t="shared" si="4"/>
        <v>0</v>
      </c>
      <c r="H89" s="261"/>
      <c r="I89" s="261"/>
      <c r="J89" s="261"/>
      <c r="K89" s="261"/>
    </row>
    <row r="90" spans="1:11" ht="22.5" customHeight="1">
      <c r="A90" s="261"/>
      <c r="B90" s="332">
        <v>23</v>
      </c>
      <c r="C90" s="385"/>
      <c r="D90" s="387"/>
      <c r="E90" s="387"/>
      <c r="F90" s="383">
        <v>0</v>
      </c>
      <c r="G90" s="271">
        <f t="shared" si="4"/>
        <v>0</v>
      </c>
      <c r="H90" s="261"/>
      <c r="I90" s="261"/>
      <c r="J90" s="261"/>
      <c r="K90" s="261"/>
    </row>
    <row r="91" spans="1:11" ht="22.5" customHeight="1">
      <c r="A91" s="261"/>
      <c r="B91" s="332">
        <v>24</v>
      </c>
      <c r="C91" s="385"/>
      <c r="D91" s="387"/>
      <c r="E91" s="387"/>
      <c r="F91" s="383">
        <v>0</v>
      </c>
      <c r="G91" s="271">
        <f t="shared" si="4"/>
        <v>0</v>
      </c>
      <c r="H91" s="261"/>
      <c r="I91" s="261"/>
      <c r="J91" s="261"/>
      <c r="K91" s="261"/>
    </row>
    <row r="92" spans="1:11" ht="22.5" customHeight="1">
      <c r="A92" s="261"/>
      <c r="B92" s="332">
        <v>25</v>
      </c>
      <c r="C92" s="385"/>
      <c r="D92" s="387"/>
      <c r="E92" s="387"/>
      <c r="F92" s="383">
        <v>0</v>
      </c>
      <c r="G92" s="271">
        <f t="shared" si="4"/>
        <v>0</v>
      </c>
      <c r="H92" s="261"/>
      <c r="I92" s="261"/>
      <c r="J92" s="261"/>
      <c r="K92" s="261"/>
    </row>
    <row r="93" spans="1:11" ht="22.5" customHeight="1">
      <c r="A93" s="261"/>
      <c r="B93" s="332">
        <v>26</v>
      </c>
      <c r="C93" s="385"/>
      <c r="D93" s="387"/>
      <c r="E93" s="387"/>
      <c r="F93" s="383">
        <v>0</v>
      </c>
      <c r="G93" s="271">
        <f t="shared" si="4"/>
        <v>0</v>
      </c>
      <c r="H93" s="261"/>
      <c r="I93" s="261"/>
      <c r="J93" s="261"/>
      <c r="K93" s="261"/>
    </row>
    <row r="94" spans="1:11" ht="22.5" customHeight="1">
      <c r="A94" s="261"/>
      <c r="B94" s="332">
        <v>27</v>
      </c>
      <c r="C94" s="385"/>
      <c r="D94" s="387"/>
      <c r="E94" s="387"/>
      <c r="F94" s="383">
        <v>0</v>
      </c>
      <c r="G94" s="271">
        <f t="shared" si="4"/>
        <v>0</v>
      </c>
      <c r="H94" s="261"/>
      <c r="I94" s="261"/>
      <c r="J94" s="261"/>
      <c r="K94" s="261"/>
    </row>
    <row r="95" spans="1:11" ht="22.5" customHeight="1">
      <c r="A95" s="261"/>
      <c r="B95" s="332">
        <v>28</v>
      </c>
      <c r="C95" s="385"/>
      <c r="D95" s="387"/>
      <c r="E95" s="387"/>
      <c r="F95" s="383">
        <v>0</v>
      </c>
      <c r="G95" s="271">
        <f t="shared" si="4"/>
        <v>0</v>
      </c>
      <c r="H95" s="261"/>
      <c r="I95" s="261"/>
      <c r="J95" s="261"/>
      <c r="K95" s="261"/>
    </row>
    <row r="96" spans="1:11" ht="22.5" customHeight="1">
      <c r="A96" s="261"/>
      <c r="B96" s="332">
        <v>29</v>
      </c>
      <c r="C96" s="385"/>
      <c r="D96" s="387"/>
      <c r="E96" s="387"/>
      <c r="F96" s="383">
        <v>0</v>
      </c>
      <c r="G96" s="271">
        <f t="shared" si="4"/>
        <v>0</v>
      </c>
      <c r="H96" s="261"/>
      <c r="I96" s="261"/>
      <c r="J96" s="261"/>
      <c r="K96" s="261"/>
    </row>
    <row r="97" spans="1:12" ht="22.5" customHeight="1">
      <c r="A97" s="261"/>
      <c r="B97" s="332">
        <v>30</v>
      </c>
      <c r="C97" s="385"/>
      <c r="D97" s="387"/>
      <c r="E97" s="387"/>
      <c r="F97" s="383">
        <v>0</v>
      </c>
      <c r="G97" s="271">
        <f t="shared" si="4"/>
        <v>0</v>
      </c>
      <c r="H97" s="261"/>
      <c r="I97" s="261"/>
      <c r="J97" s="261"/>
      <c r="K97" s="261"/>
    </row>
    <row r="98" spans="1:12" ht="22.5" customHeight="1">
      <c r="A98" s="261"/>
      <c r="B98" s="261"/>
      <c r="C98" s="148"/>
      <c r="D98" s="800" t="s">
        <v>344</v>
      </c>
      <c r="E98" s="801"/>
      <c r="F98" s="801"/>
      <c r="G98" s="288">
        <f>SUM(G68:G97)</f>
        <v>0</v>
      </c>
      <c r="H98" s="148"/>
      <c r="I98" s="261"/>
      <c r="J98" s="261"/>
      <c r="K98" s="261"/>
      <c r="L98" s="261"/>
    </row>
    <row r="99" spans="1:12" ht="25.5" customHeight="1">
      <c r="A99" s="261"/>
      <c r="B99" s="261"/>
      <c r="C99" s="261"/>
      <c r="D99" s="802" t="s">
        <v>345</v>
      </c>
      <c r="E99" s="803"/>
      <c r="F99" s="803"/>
      <c r="G99" s="285">
        <f>ROUND(G98/12/(2+ROUND('2-EMPREGADOS X PRODUTIVIDADE'!$J$15,0)),2)</f>
        <v>0</v>
      </c>
      <c r="H99" s="261"/>
      <c r="I99" s="261"/>
      <c r="J99" s="261"/>
      <c r="K99" s="261"/>
      <c r="L99" s="261"/>
    </row>
    <row r="100" spans="1:12" ht="14.4">
      <c r="A100" s="261"/>
      <c r="B100" s="261"/>
      <c r="C100" s="261"/>
      <c r="D100" s="261"/>
      <c r="E100" s="261"/>
      <c r="F100" s="261"/>
      <c r="G100" s="261"/>
      <c r="H100" s="261"/>
      <c r="I100" s="261"/>
      <c r="J100" s="261"/>
      <c r="K100" s="261"/>
      <c r="L100" s="261"/>
    </row>
    <row r="101" spans="1:12" ht="14.4">
      <c r="A101" s="261"/>
      <c r="B101" s="261"/>
      <c r="C101" s="261"/>
      <c r="D101" s="261"/>
      <c r="E101" s="261"/>
      <c r="F101" s="261"/>
      <c r="G101" s="261"/>
      <c r="H101" s="261"/>
      <c r="I101" s="261"/>
      <c r="J101" s="261"/>
      <c r="K101" s="261"/>
      <c r="L101" s="261"/>
    </row>
    <row r="102" spans="1:12" ht="14.4">
      <c r="A102" s="261"/>
      <c r="B102" s="261"/>
      <c r="C102" s="261"/>
      <c r="D102" s="261"/>
      <c r="E102" s="261"/>
      <c r="F102" s="261"/>
      <c r="G102" s="261"/>
      <c r="H102" s="261"/>
      <c r="I102" s="261"/>
      <c r="J102" s="261"/>
      <c r="K102" s="261"/>
      <c r="L102" s="261"/>
    </row>
    <row r="103" spans="1:12" ht="14.4">
      <c r="A103" s="261"/>
      <c r="B103" s="261"/>
      <c r="C103" s="261"/>
      <c r="D103" s="261"/>
      <c r="E103" s="261"/>
      <c r="F103" s="261"/>
      <c r="G103" s="261"/>
      <c r="H103" s="261"/>
      <c r="I103" s="261"/>
      <c r="J103" s="261"/>
      <c r="K103" s="261"/>
      <c r="L103" s="261"/>
    </row>
  </sheetData>
  <mergeCells count="11">
    <mergeCell ref="D98:F98"/>
    <mergeCell ref="D99:F99"/>
    <mergeCell ref="B66:G66"/>
    <mergeCell ref="B11:G11"/>
    <mergeCell ref="A1:G1"/>
    <mergeCell ref="B2:G2"/>
    <mergeCell ref="B3:G3"/>
    <mergeCell ref="B4:G4"/>
    <mergeCell ref="B7:G7"/>
    <mergeCell ref="D63:F63"/>
    <mergeCell ref="D64:F64"/>
  </mergeCells>
  <pageMargins left="0.25" right="0.25" top="0.75" bottom="0.75" header="0.3" footer="0.3"/>
  <pageSetup paperSize="9" scale="64" fitToHeight="0" orientation="portrait" horizontalDpi="1200" verticalDpi="12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D04475-D238-45BF-A958-6CF7EBA4EBD3}">
  <sheetPr>
    <tabColor theme="4" tint="-0.249977111117893"/>
    <pageSetUpPr fitToPage="1"/>
  </sheetPr>
  <dimension ref="A1:K18"/>
  <sheetViews>
    <sheetView showGridLines="0" view="pageBreakPreview" zoomScale="90" zoomScaleNormal="100" zoomScaleSheetLayoutView="90" workbookViewId="0">
      <selection sqref="A1:F1"/>
    </sheetView>
  </sheetViews>
  <sheetFormatPr defaultColWidth="9.21875" defaultRowHeight="13.8"/>
  <cols>
    <col min="1" max="1" width="0.44140625" style="260" customWidth="1"/>
    <col min="2" max="2" width="5.77734375" style="260" customWidth="1"/>
    <col min="3" max="3" width="81" style="260" customWidth="1"/>
    <col min="4" max="4" width="20" style="260" customWidth="1"/>
    <col min="5" max="5" width="21" style="260" customWidth="1"/>
    <col min="6" max="6" width="21.88671875" style="260" customWidth="1"/>
    <col min="7" max="7" width="18.44140625" style="260" customWidth="1"/>
    <col min="8" max="16384" width="9.21875" style="260"/>
  </cols>
  <sheetData>
    <row r="1" spans="1:11" ht="88.5" customHeight="1">
      <c r="A1" s="603" t="s">
        <v>206</v>
      </c>
      <c r="B1" s="603"/>
      <c r="C1" s="603"/>
      <c r="D1" s="603"/>
      <c r="E1" s="603"/>
      <c r="F1" s="603"/>
    </row>
    <row r="2" spans="1:11" ht="18">
      <c r="B2" s="604" t="s">
        <v>323</v>
      </c>
      <c r="C2" s="604"/>
      <c r="D2" s="604"/>
      <c r="E2" s="604"/>
      <c r="F2" s="604"/>
    </row>
    <row r="3" spans="1:11" ht="33.450000000000003" customHeight="1">
      <c r="B3" s="634" t="s">
        <v>324</v>
      </c>
      <c r="C3" s="634"/>
      <c r="D3" s="634"/>
      <c r="E3" s="634"/>
      <c r="F3" s="634"/>
    </row>
    <row r="4" spans="1:11" ht="14.4">
      <c r="B4" s="736" t="str">
        <f>'1-RESUMO PROPOSTA'!$B$4</f>
        <v xml:space="preserve">Número do  Processo: CRQ-IV 18/26     </v>
      </c>
      <c r="C4" s="736" t="str">
        <f>'1-RESUMO PROPOSTA'!$B$4</f>
        <v xml:space="preserve">Número do  Processo: CRQ-IV 18/26     </v>
      </c>
      <c r="D4" s="736" t="str">
        <f>'1-RESUMO PROPOSTA'!$B$4</f>
        <v xml:space="preserve">Número do  Processo: CRQ-IV 18/26     </v>
      </c>
      <c r="E4" s="736" t="str">
        <f>'1-RESUMO PROPOSTA'!$B$4</f>
        <v xml:space="preserve">Número do  Processo: CRQ-IV 18/26     </v>
      </c>
      <c r="F4" s="736" t="str">
        <f>'1-RESUMO PROPOSTA'!$B$4</f>
        <v xml:space="preserve">Número do  Processo: CRQ-IV 18/26     </v>
      </c>
    </row>
    <row r="5" spans="1:11" ht="14.4">
      <c r="B5" s="128" t="str">
        <f>'1-RESUMO PROPOSTA'!$B$5</f>
        <v xml:space="preserve">Número da Licitação: Pregão Eletrônico nº 90006/2026      </v>
      </c>
      <c r="C5" s="128"/>
      <c r="D5" s="128"/>
      <c r="E5" s="128"/>
      <c r="F5" s="128"/>
    </row>
    <row r="6" spans="1:11" ht="14.4">
      <c r="B6" s="128" t="str">
        <f>CONCATENATE("Razão Social:  ",'1-RESUMO PROPOSTA'!C$8)</f>
        <v xml:space="preserve">Razão Social:  </v>
      </c>
      <c r="C6" s="128"/>
      <c r="D6" s="128"/>
      <c r="E6" s="128"/>
      <c r="F6" s="128"/>
    </row>
    <row r="7" spans="1:11" ht="14.4">
      <c r="B7" s="806" t="str">
        <f>CONCATENATE("CNPJ:  ",'1-RESUMO PROPOSTA'!C9)</f>
        <v xml:space="preserve">CNPJ:  </v>
      </c>
      <c r="C7" s="806" t="str">
        <f>CONCATENATE("CNPJ:  ",'1-RESUMO PROPOSTA'!F9)</f>
        <v xml:space="preserve">CNPJ:  </v>
      </c>
      <c r="D7" s="806" t="str">
        <f>CONCATENATE("CNPJ:  ",'1-RESUMO PROPOSTA'!G9)</f>
        <v xml:space="preserve">CNPJ:  </v>
      </c>
      <c r="E7" s="806" t="str">
        <f>CONCATENATE("CNPJ:  ",'1-RESUMO PROPOSTA'!I9)</f>
        <v xml:space="preserve">CNPJ:  </v>
      </c>
      <c r="F7" s="806" t="str">
        <f>CONCATENATE("CNPJ:  ",'1-RESUMO PROPOSTA'!J9)</f>
        <v xml:space="preserve">CNPJ:  </v>
      </c>
    </row>
    <row r="8" spans="1:11" ht="5.55" customHeight="1" thickBot="1">
      <c r="A8" s="261"/>
      <c r="B8" s="261"/>
      <c r="C8" s="261"/>
      <c r="D8" s="261"/>
      <c r="E8" s="261"/>
      <c r="F8" s="261"/>
      <c r="G8" s="261"/>
      <c r="H8" s="261"/>
      <c r="I8" s="261"/>
      <c r="J8" s="261"/>
      <c r="K8" s="261"/>
    </row>
    <row r="9" spans="1:11" ht="30.75" customHeight="1" thickBot="1">
      <c r="A9" s="261"/>
      <c r="B9" s="811" t="s">
        <v>416</v>
      </c>
      <c r="C9" s="812"/>
      <c r="D9" s="812"/>
      <c r="E9" s="812"/>
      <c r="F9" s="812"/>
      <c r="G9" s="261"/>
      <c r="H9" s="261"/>
      <c r="I9" s="261"/>
      <c r="J9" s="261"/>
    </row>
    <row r="10" spans="1:11" ht="4.5" customHeight="1">
      <c r="A10" s="261"/>
      <c r="B10" s="261"/>
      <c r="C10" s="261"/>
      <c r="D10" s="261"/>
      <c r="E10" s="261"/>
      <c r="F10" s="261"/>
      <c r="G10" s="261"/>
      <c r="H10" s="261"/>
      <c r="I10" s="261"/>
      <c r="J10" s="261"/>
      <c r="K10" s="261"/>
    </row>
    <row r="11" spans="1:11" ht="24.45" customHeight="1">
      <c r="A11" s="261"/>
      <c r="B11" s="345"/>
      <c r="C11" s="346" t="s">
        <v>409</v>
      </c>
      <c r="D11" s="286" t="s">
        <v>410</v>
      </c>
      <c r="E11" s="286" t="s">
        <v>342</v>
      </c>
      <c r="F11" s="287" t="s">
        <v>392</v>
      </c>
    </row>
    <row r="12" spans="1:11" ht="55.95" customHeight="1">
      <c r="A12" s="261"/>
      <c r="B12" s="332">
        <v>1</v>
      </c>
      <c r="C12" s="333" t="s">
        <v>443</v>
      </c>
      <c r="D12" s="270">
        <v>1</v>
      </c>
      <c r="E12" s="383">
        <v>0</v>
      </c>
      <c r="F12" s="271">
        <f>ROUND(D12*E12,2)</f>
        <v>0</v>
      </c>
      <c r="G12" s="261"/>
      <c r="H12" s="261"/>
      <c r="I12" s="261"/>
      <c r="J12" s="261"/>
    </row>
    <row r="13" spans="1:11" ht="22.5" customHeight="1">
      <c r="A13" s="261"/>
      <c r="B13" s="261"/>
      <c r="C13" s="148"/>
      <c r="D13" s="809" t="s">
        <v>344</v>
      </c>
      <c r="E13" s="810"/>
      <c r="F13" s="288">
        <f>SUM(F12:F12)</f>
        <v>0</v>
      </c>
      <c r="G13" s="148"/>
      <c r="H13" s="261"/>
      <c r="I13" s="261"/>
      <c r="J13" s="261"/>
      <c r="K13" s="261"/>
    </row>
    <row r="14" spans="1:11" ht="25.5" customHeight="1">
      <c r="A14" s="261"/>
      <c r="B14" s="261"/>
      <c r="C14" s="261"/>
      <c r="D14" s="802"/>
      <c r="E14" s="803"/>
      <c r="F14" s="285"/>
      <c r="G14" s="261"/>
      <c r="H14" s="261"/>
      <c r="I14" s="261"/>
      <c r="J14" s="261"/>
      <c r="K14" s="261"/>
    </row>
    <row r="15" spans="1:11" ht="14.4">
      <c r="A15" s="261"/>
      <c r="B15" s="261"/>
      <c r="C15" s="261"/>
      <c r="D15" s="261"/>
      <c r="E15" s="261"/>
      <c r="F15" s="261"/>
      <c r="G15" s="261"/>
      <c r="H15" s="261"/>
      <c r="I15" s="261"/>
      <c r="J15" s="261"/>
      <c r="K15" s="261"/>
    </row>
    <row r="16" spans="1:11" ht="14.4">
      <c r="A16" s="261"/>
      <c r="B16" s="261"/>
      <c r="C16" s="261"/>
      <c r="D16" s="261"/>
      <c r="E16" s="261"/>
      <c r="F16" s="261"/>
      <c r="G16" s="261"/>
      <c r="H16" s="261"/>
      <c r="I16" s="261"/>
      <c r="J16" s="261"/>
      <c r="K16" s="261"/>
    </row>
    <row r="17" spans="1:11" ht="14.4">
      <c r="A17" s="261"/>
      <c r="B17" s="261"/>
      <c r="C17" s="261"/>
      <c r="D17" s="261"/>
      <c r="E17" s="261"/>
      <c r="F17" s="261"/>
      <c r="G17" s="261"/>
      <c r="H17" s="261"/>
      <c r="I17" s="261"/>
      <c r="J17" s="261"/>
      <c r="K17" s="261"/>
    </row>
    <row r="18" spans="1:11" ht="14.4">
      <c r="A18" s="261"/>
      <c r="B18" s="261"/>
      <c r="C18" s="261"/>
      <c r="D18" s="261"/>
      <c r="E18" s="261"/>
      <c r="F18" s="261"/>
      <c r="G18" s="261"/>
      <c r="H18" s="261"/>
      <c r="I18" s="261"/>
      <c r="J18" s="261"/>
      <c r="K18" s="261"/>
    </row>
  </sheetData>
  <mergeCells count="8">
    <mergeCell ref="D13:E13"/>
    <mergeCell ref="D14:E14"/>
    <mergeCell ref="B9:F9"/>
    <mergeCell ref="A1:F1"/>
    <mergeCell ref="B2:F2"/>
    <mergeCell ref="B3:F3"/>
    <mergeCell ref="B4:F4"/>
    <mergeCell ref="B7:F7"/>
  </mergeCells>
  <pageMargins left="0.25" right="0.25" top="0.75" bottom="0.75" header="0.3" footer="0.3"/>
  <pageSetup paperSize="9" scale="95" orientation="landscape" horizontalDpi="1200" verticalDpi="12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3D1DA-F619-45EF-AF3A-1B2175D86B65}">
  <sheetPr>
    <tabColor theme="4" tint="-0.249977111117893"/>
    <pageSetUpPr fitToPage="1"/>
  </sheetPr>
  <dimension ref="A1:K19"/>
  <sheetViews>
    <sheetView showGridLines="0" view="pageBreakPreview" zoomScale="90" zoomScaleNormal="100" zoomScaleSheetLayoutView="90" workbookViewId="0">
      <selection sqref="A1:F1"/>
    </sheetView>
  </sheetViews>
  <sheetFormatPr defaultColWidth="9.21875" defaultRowHeight="13.8"/>
  <cols>
    <col min="1" max="1" width="0.44140625" style="260" customWidth="1"/>
    <col min="2" max="2" width="5.77734375" style="260" customWidth="1"/>
    <col min="3" max="3" width="81" style="260" customWidth="1"/>
    <col min="4" max="4" width="20" style="260" customWidth="1"/>
    <col min="5" max="5" width="21" style="260" customWidth="1"/>
    <col min="6" max="6" width="21.88671875" style="260" customWidth="1"/>
    <col min="7" max="7" width="18.44140625" style="260" customWidth="1"/>
    <col min="8" max="16384" width="9.21875" style="260"/>
  </cols>
  <sheetData>
    <row r="1" spans="1:11" ht="88.5" customHeight="1">
      <c r="A1" s="603" t="s">
        <v>206</v>
      </c>
      <c r="B1" s="603"/>
      <c r="C1" s="603"/>
      <c r="D1" s="603"/>
      <c r="E1" s="603"/>
      <c r="F1" s="603"/>
    </row>
    <row r="2" spans="1:11" ht="18">
      <c r="B2" s="604" t="s">
        <v>323</v>
      </c>
      <c r="C2" s="604"/>
      <c r="D2" s="604"/>
      <c r="E2" s="604"/>
      <c r="F2" s="604"/>
    </row>
    <row r="3" spans="1:11" ht="33.450000000000003" customHeight="1">
      <c r="B3" s="634" t="s">
        <v>324</v>
      </c>
      <c r="C3" s="634"/>
      <c r="D3" s="634"/>
      <c r="E3" s="634"/>
      <c r="F3" s="634"/>
    </row>
    <row r="4" spans="1:11" ht="14.4">
      <c r="B4" s="736" t="str">
        <f>'1-RESUMO PROPOSTA'!$B$4</f>
        <v xml:space="preserve">Número do  Processo: CRQ-IV 18/26     </v>
      </c>
      <c r="C4" s="736" t="str">
        <f>'1-RESUMO PROPOSTA'!$B$4</f>
        <v xml:space="preserve">Número do  Processo: CRQ-IV 18/26     </v>
      </c>
      <c r="D4" s="736" t="str">
        <f>'1-RESUMO PROPOSTA'!$B$4</f>
        <v xml:space="preserve">Número do  Processo: CRQ-IV 18/26     </v>
      </c>
      <c r="E4" s="736" t="str">
        <f>'1-RESUMO PROPOSTA'!$B$4</f>
        <v xml:space="preserve">Número do  Processo: CRQ-IV 18/26     </v>
      </c>
      <c r="F4" s="736" t="str">
        <f>'1-RESUMO PROPOSTA'!$B$4</f>
        <v xml:space="preserve">Número do  Processo: CRQ-IV 18/26     </v>
      </c>
    </row>
    <row r="5" spans="1:11" ht="14.4">
      <c r="B5" s="128" t="str">
        <f>'1-RESUMO PROPOSTA'!$B$5</f>
        <v xml:space="preserve">Número da Licitação: Pregão Eletrônico nº 90006/2026      </v>
      </c>
      <c r="C5" s="128"/>
      <c r="D5" s="128"/>
      <c r="E5" s="128"/>
      <c r="F5" s="128"/>
    </row>
    <row r="6" spans="1:11" ht="14.4">
      <c r="B6" s="128" t="str">
        <f>CONCATENATE("Razão Social:  ",'1-RESUMO PROPOSTA'!C$8)</f>
        <v xml:space="preserve">Razão Social:  </v>
      </c>
      <c r="C6" s="128"/>
      <c r="D6" s="128"/>
      <c r="E6" s="128"/>
      <c r="F6" s="128"/>
    </row>
    <row r="7" spans="1:11" ht="14.4">
      <c r="B7" s="806" t="str">
        <f>CONCATENATE("CNPJ:  ",'1-RESUMO PROPOSTA'!C9)</f>
        <v xml:space="preserve">CNPJ:  </v>
      </c>
      <c r="C7" s="806" t="str">
        <f>CONCATENATE("CNPJ:  ",'1-RESUMO PROPOSTA'!F9)</f>
        <v xml:space="preserve">CNPJ:  </v>
      </c>
      <c r="D7" s="806" t="str">
        <f>CONCATENATE("CNPJ:  ",'1-RESUMO PROPOSTA'!G9)</f>
        <v xml:space="preserve">CNPJ:  </v>
      </c>
      <c r="E7" s="806" t="str">
        <f>CONCATENATE("CNPJ:  ",'1-RESUMO PROPOSTA'!I9)</f>
        <v xml:space="preserve">CNPJ:  </v>
      </c>
      <c r="F7" s="806" t="str">
        <f>CONCATENATE("CNPJ:  ",'1-RESUMO PROPOSTA'!J9)</f>
        <v xml:space="preserve">CNPJ:  </v>
      </c>
    </row>
    <row r="8" spans="1:11" ht="5.55" customHeight="1" thickBot="1">
      <c r="A8" s="261"/>
      <c r="B8" s="261"/>
      <c r="C8" s="261"/>
      <c r="D8" s="261"/>
      <c r="E8" s="261"/>
      <c r="F8" s="261"/>
      <c r="G8" s="261"/>
      <c r="H8" s="261"/>
      <c r="I8" s="261"/>
      <c r="J8" s="261"/>
      <c r="K8" s="261"/>
    </row>
    <row r="9" spans="1:11" ht="30.75" customHeight="1" thickBot="1">
      <c r="A9" s="261"/>
      <c r="B9" s="811" t="s">
        <v>416</v>
      </c>
      <c r="C9" s="812"/>
      <c r="D9" s="812"/>
      <c r="E9" s="812"/>
      <c r="F9" s="812"/>
      <c r="G9" s="261"/>
      <c r="H9" s="261"/>
      <c r="I9" s="261"/>
      <c r="J9" s="261"/>
    </row>
    <row r="10" spans="1:11" ht="4.5" customHeight="1">
      <c r="A10" s="261"/>
      <c r="B10" s="261"/>
      <c r="C10" s="261"/>
      <c r="D10" s="261"/>
      <c r="E10" s="261"/>
      <c r="F10" s="261"/>
      <c r="G10" s="261"/>
      <c r="H10" s="261"/>
      <c r="I10" s="261"/>
      <c r="J10" s="261"/>
      <c r="K10" s="261"/>
    </row>
    <row r="11" spans="1:11" ht="21" customHeight="1">
      <c r="A11" s="261"/>
      <c r="B11" s="281" t="s">
        <v>208</v>
      </c>
      <c r="C11" s="813" t="s">
        <v>408</v>
      </c>
      <c r="D11" s="815"/>
      <c r="E11" s="816"/>
      <c r="F11" s="816"/>
      <c r="G11" s="261"/>
      <c r="H11" s="261"/>
      <c r="I11" s="261"/>
      <c r="J11" s="261"/>
    </row>
    <row r="12" spans="1:11" ht="23.25" customHeight="1">
      <c r="A12" s="261"/>
      <c r="B12" s="282"/>
      <c r="C12" s="814"/>
      <c r="D12" s="263" t="s">
        <v>410</v>
      </c>
      <c r="E12" s="263" t="s">
        <v>342</v>
      </c>
      <c r="F12" s="263" t="s">
        <v>392</v>
      </c>
      <c r="G12" s="261"/>
      <c r="H12" s="261"/>
      <c r="I12" s="261"/>
      <c r="J12" s="261"/>
    </row>
    <row r="13" spans="1:11" ht="68.55" customHeight="1">
      <c r="A13" s="261"/>
      <c r="B13" s="265">
        <v>1</v>
      </c>
      <c r="C13" s="334" t="s">
        <v>417</v>
      </c>
      <c r="D13" s="270">
        <v>2</v>
      </c>
      <c r="E13" s="383">
        <v>0</v>
      </c>
      <c r="F13" s="271">
        <f>ROUND(D13*E13,2)</f>
        <v>0</v>
      </c>
      <c r="G13" s="261"/>
      <c r="H13" s="261"/>
      <c r="I13" s="261"/>
      <c r="J13" s="261"/>
    </row>
    <row r="14" spans="1:11" ht="24" customHeight="1">
      <c r="A14" s="261"/>
      <c r="B14" s="262"/>
      <c r="C14" s="283"/>
      <c r="D14" s="817" t="s">
        <v>344</v>
      </c>
      <c r="E14" s="818"/>
      <c r="F14" s="284">
        <f>SUM(F13:F13)</f>
        <v>0</v>
      </c>
      <c r="G14" s="261"/>
      <c r="H14" s="261"/>
      <c r="I14" s="261"/>
      <c r="J14" s="261"/>
    </row>
    <row r="15" spans="1:11" ht="24" customHeight="1">
      <c r="A15" s="261"/>
      <c r="B15" s="262"/>
      <c r="C15" s="283"/>
      <c r="D15" s="802"/>
      <c r="E15" s="803"/>
      <c r="F15" s="285"/>
      <c r="G15" s="261"/>
      <c r="H15" s="261"/>
      <c r="I15" s="261"/>
      <c r="J15" s="261"/>
    </row>
    <row r="16" spans="1:11" ht="14.4">
      <c r="A16" s="261"/>
      <c r="B16" s="261"/>
      <c r="C16" s="261"/>
      <c r="D16" s="261"/>
      <c r="E16" s="261"/>
      <c r="F16" s="261"/>
      <c r="G16" s="261"/>
      <c r="H16" s="261"/>
      <c r="I16" s="261"/>
      <c r="J16" s="261"/>
      <c r="K16" s="261"/>
    </row>
    <row r="17" spans="1:11" ht="14.4">
      <c r="A17" s="261"/>
      <c r="B17" s="261"/>
      <c r="C17" s="261"/>
      <c r="D17" s="261"/>
      <c r="E17" s="261"/>
      <c r="F17" s="261"/>
      <c r="G17" s="261"/>
      <c r="H17" s="261"/>
      <c r="I17" s="261"/>
      <c r="J17" s="261"/>
      <c r="K17" s="261"/>
    </row>
    <row r="18" spans="1:11" ht="14.4">
      <c r="A18" s="261"/>
      <c r="B18" s="261"/>
      <c r="C18" s="261"/>
      <c r="D18" s="261"/>
      <c r="E18" s="261"/>
      <c r="F18" s="261"/>
      <c r="G18" s="261"/>
      <c r="H18" s="261"/>
      <c r="I18" s="261"/>
      <c r="J18" s="261"/>
      <c r="K18" s="261"/>
    </row>
    <row r="19" spans="1:11" ht="14.4">
      <c r="A19" s="261"/>
      <c r="B19" s="261"/>
      <c r="C19" s="261"/>
      <c r="D19" s="261"/>
      <c r="E19" s="261"/>
      <c r="F19" s="261"/>
      <c r="G19" s="261"/>
      <c r="H19" s="261"/>
      <c r="I19" s="261"/>
      <c r="J19" s="261"/>
      <c r="K19" s="261"/>
    </row>
  </sheetData>
  <mergeCells count="10">
    <mergeCell ref="C11:C12"/>
    <mergeCell ref="D11:F11"/>
    <mergeCell ref="D14:E14"/>
    <mergeCell ref="D15:E15"/>
    <mergeCell ref="A1:F1"/>
    <mergeCell ref="B2:F2"/>
    <mergeCell ref="B3:F3"/>
    <mergeCell ref="B4:F4"/>
    <mergeCell ref="B7:F7"/>
    <mergeCell ref="B9:F9"/>
  </mergeCells>
  <pageMargins left="0.25" right="0.25" top="0.75" bottom="0.75" header="0.3" footer="0.3"/>
  <pageSetup paperSize="9" scale="95" orientation="landscape" horizontalDpi="1200" verticalDpi="120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9A0AE9-028A-489A-AC50-27F2072C8C03}">
  <sheetPr>
    <tabColor theme="4" tint="0.59999389629810485"/>
    <pageSetUpPr fitToPage="1"/>
  </sheetPr>
  <dimension ref="B1:J31"/>
  <sheetViews>
    <sheetView showGridLines="0" view="pageBreakPreview" zoomScale="90" zoomScaleNormal="70" zoomScaleSheetLayoutView="90" workbookViewId="0">
      <selection activeCell="K6" sqref="K6"/>
    </sheetView>
  </sheetViews>
  <sheetFormatPr defaultColWidth="9.21875" defaultRowHeight="14.4"/>
  <cols>
    <col min="1" max="1" width="0.44140625" style="126" customWidth="1"/>
    <col min="2" max="2" width="9.21875" style="126"/>
    <col min="3" max="3" width="105.21875" style="126" customWidth="1"/>
    <col min="4" max="4" width="14.5546875" style="126" customWidth="1"/>
    <col min="5" max="5" width="13.21875" style="126" customWidth="1"/>
    <col min="6" max="6" width="15.5546875" style="126" customWidth="1"/>
    <col min="7" max="7" width="9.21875" style="126"/>
    <col min="8" max="8" width="10.21875" style="126" bestFit="1" customWidth="1"/>
    <col min="9" max="16384" width="9.21875" style="126"/>
  </cols>
  <sheetData>
    <row r="1" spans="2:10" ht="102.75" customHeight="1">
      <c r="B1" s="603" t="s">
        <v>206</v>
      </c>
      <c r="C1" s="603"/>
      <c r="D1" s="603"/>
      <c r="E1" s="125"/>
    </row>
    <row r="2" spans="2:10" ht="29.25" customHeight="1">
      <c r="B2" s="604" t="s">
        <v>323</v>
      </c>
      <c r="C2" s="604"/>
      <c r="D2" s="604"/>
      <c r="E2" s="604"/>
      <c r="F2" s="604"/>
    </row>
    <row r="3" spans="2:10" ht="31.05" customHeight="1">
      <c r="B3" s="634" t="s">
        <v>324</v>
      </c>
      <c r="C3" s="634"/>
      <c r="D3" s="634"/>
      <c r="E3" s="634"/>
      <c r="F3" s="634"/>
    </row>
    <row r="4" spans="2:10" ht="16.5" customHeight="1">
      <c r="B4" s="736" t="str">
        <f>'1-RESUMO PROPOSTA'!$B$4</f>
        <v xml:space="preserve">Número do  Processo: CRQ-IV 18/26     </v>
      </c>
      <c r="C4" s="736" t="str">
        <f>'1-RESUMO PROPOSTA'!$B$4</f>
        <v xml:space="preserve">Número do  Processo: CRQ-IV 18/26     </v>
      </c>
      <c r="D4" s="736" t="str">
        <f>'1-RESUMO PROPOSTA'!$B$4</f>
        <v xml:space="preserve">Número do  Processo: CRQ-IV 18/26     </v>
      </c>
      <c r="E4" s="736" t="str">
        <f>'1-RESUMO PROPOSTA'!$B$4</f>
        <v xml:space="preserve">Número do  Processo: CRQ-IV 18/26     </v>
      </c>
      <c r="F4" s="736" t="str">
        <f>'1-RESUMO PROPOSTA'!$B$4</f>
        <v xml:space="preserve">Número do  Processo: CRQ-IV 18/26     </v>
      </c>
    </row>
    <row r="5" spans="2:10" ht="16.5" customHeight="1">
      <c r="B5" s="128" t="str">
        <f>'1-RESUMO PROPOSTA'!$B$5</f>
        <v xml:space="preserve">Número da Licitação: Pregão Eletrônico nº 90006/2026      </v>
      </c>
      <c r="C5" s="128"/>
      <c r="D5" s="128"/>
      <c r="E5" s="128"/>
      <c r="F5" s="128"/>
    </row>
    <row r="6" spans="2:10" ht="16.5" customHeight="1">
      <c r="B6" s="128" t="str">
        <f>CONCATENATE("Razão Social:  ",'1-RESUMO PROPOSTA'!C$8)</f>
        <v xml:space="preserve">Razão Social:  </v>
      </c>
      <c r="C6" s="128"/>
      <c r="D6" s="128"/>
      <c r="E6" s="128"/>
      <c r="F6" s="128"/>
    </row>
    <row r="7" spans="2:10" ht="22.5" customHeight="1">
      <c r="B7" s="806" t="str">
        <f>CONCATENATE("CNPJ:  ",'1-RESUMO PROPOSTA'!C9)</f>
        <v xml:space="preserve">CNPJ:  </v>
      </c>
      <c r="C7" s="806" t="str">
        <f>CONCATENATE("CNPJ:  ",'1-RESUMO PROPOSTA'!F9)</f>
        <v xml:space="preserve">CNPJ:  </v>
      </c>
      <c r="D7" s="806" t="str">
        <f>CONCATENATE("CNPJ:  ",'1-RESUMO PROPOSTA'!G9)</f>
        <v xml:space="preserve">CNPJ:  </v>
      </c>
      <c r="E7" s="806" t="str">
        <f>CONCATENATE("CNPJ:  ",'1-RESUMO PROPOSTA'!I9)</f>
        <v xml:space="preserve">CNPJ:  </v>
      </c>
      <c r="F7" s="806" t="str">
        <f>CONCATENATE("CNPJ:  ",'1-RESUMO PROPOSTA'!J9)</f>
        <v xml:space="preserve">CNPJ:  </v>
      </c>
    </row>
    <row r="8" spans="2:10" ht="12" customHeight="1"/>
    <row r="9" spans="2:10" ht="37.5" customHeight="1">
      <c r="B9" s="819" t="s">
        <v>411</v>
      </c>
      <c r="C9" s="820"/>
      <c r="D9" s="820"/>
      <c r="E9" s="820"/>
      <c r="F9" s="820"/>
    </row>
    <row r="10" spans="2:10" ht="74.25" customHeight="1">
      <c r="B10" s="823" t="s">
        <v>207</v>
      </c>
      <c r="C10" s="824"/>
      <c r="D10" s="824"/>
      <c r="E10" s="824"/>
      <c r="F10" s="824"/>
    </row>
    <row r="11" spans="2:10" ht="17.25" customHeight="1">
      <c r="B11" s="130"/>
      <c r="C11" s="130"/>
      <c r="D11" s="131"/>
    </row>
    <row r="12" spans="2:10" ht="30.75" customHeight="1">
      <c r="B12" s="825" t="s">
        <v>208</v>
      </c>
      <c r="C12" s="825" t="s">
        <v>209</v>
      </c>
      <c r="D12" s="826" t="s">
        <v>210</v>
      </c>
      <c r="E12" s="827"/>
      <c r="F12" s="828"/>
    </row>
    <row r="13" spans="2:10" ht="18" customHeight="1">
      <c r="B13" s="825"/>
      <c r="C13" s="825"/>
      <c r="D13" s="829"/>
      <c r="E13" s="830"/>
      <c r="F13" s="831"/>
      <c r="H13" s="132"/>
    </row>
    <row r="14" spans="2:10" ht="36.75" customHeight="1">
      <c r="B14" s="133">
        <v>1</v>
      </c>
      <c r="C14" s="134" t="s">
        <v>211</v>
      </c>
      <c r="D14" s="832">
        <v>0.121</v>
      </c>
      <c r="E14" s="833"/>
      <c r="F14" s="834"/>
      <c r="H14" s="132"/>
      <c r="J14" s="132"/>
    </row>
    <row r="15" spans="2:10" ht="36.75" customHeight="1">
      <c r="B15" s="133">
        <v>2</v>
      </c>
      <c r="C15" s="134" t="s">
        <v>212</v>
      </c>
      <c r="D15" s="832">
        <v>8.3299999999999999E-2</v>
      </c>
      <c r="E15" s="833"/>
      <c r="F15" s="834"/>
      <c r="H15" s="132"/>
    </row>
    <row r="16" spans="2:10" ht="36.75" customHeight="1">
      <c r="B16" s="135">
        <v>3</v>
      </c>
      <c r="C16" s="136" t="s">
        <v>213</v>
      </c>
      <c r="D16" s="835">
        <f>SUM(D14:D15)</f>
        <v>0.20429999999999998</v>
      </c>
      <c r="E16" s="836"/>
      <c r="F16" s="837"/>
      <c r="H16" s="132"/>
    </row>
    <row r="17" spans="2:10" ht="36.75" customHeight="1">
      <c r="B17" s="133">
        <v>4</v>
      </c>
      <c r="C17" s="134" t="s">
        <v>214</v>
      </c>
      <c r="D17" s="137">
        <v>7.3899999999999993E-2</v>
      </c>
      <c r="E17" s="137">
        <v>7.5999999999999998E-2</v>
      </c>
      <c r="F17" s="137">
        <v>7.8200000000000006E-2</v>
      </c>
      <c r="G17" s="138"/>
      <c r="H17" s="138"/>
      <c r="I17" s="138"/>
      <c r="J17" s="132"/>
    </row>
    <row r="18" spans="2:10" ht="36.75" customHeight="1" thickBot="1">
      <c r="B18" s="139">
        <v>5</v>
      </c>
      <c r="C18" s="140" t="s">
        <v>215</v>
      </c>
      <c r="D18" s="141">
        <v>0.04</v>
      </c>
      <c r="E18" s="142">
        <v>0.04</v>
      </c>
      <c r="F18" s="141">
        <v>0.04</v>
      </c>
      <c r="G18" s="132"/>
      <c r="H18" s="132"/>
      <c r="I18" s="132"/>
    </row>
    <row r="19" spans="2:10" ht="43.5" customHeight="1" thickBot="1">
      <c r="B19" s="143">
        <v>6</v>
      </c>
      <c r="C19" s="144" t="s">
        <v>216</v>
      </c>
      <c r="D19" s="145">
        <f>D16+D17+D18</f>
        <v>0.31819999999999998</v>
      </c>
      <c r="E19" s="145">
        <f>SUM(D16,E17,E18)</f>
        <v>0.32029999999999997</v>
      </c>
      <c r="F19" s="145">
        <f>SUM(F17:F18,D16)</f>
        <v>0.32250000000000001</v>
      </c>
    </row>
    <row r="20" spans="2:10" ht="17.25" customHeight="1">
      <c r="G20" s="132"/>
      <c r="H20" s="132"/>
      <c r="I20" s="132"/>
    </row>
    <row r="21" spans="2:10" ht="22.5" customHeight="1">
      <c r="B21" s="838" t="s">
        <v>217</v>
      </c>
      <c r="C21" s="839"/>
      <c r="D21" s="839"/>
      <c r="E21" s="839"/>
      <c r="F21" s="839"/>
    </row>
    <row r="22" spans="2:10" ht="21.75" customHeight="1">
      <c r="B22" s="838" t="s">
        <v>218</v>
      </c>
      <c r="C22" s="839"/>
      <c r="D22" s="839"/>
      <c r="E22" s="839"/>
      <c r="F22" s="839"/>
    </row>
    <row r="23" spans="2:10" ht="26.25" customHeight="1">
      <c r="B23" s="838" t="s">
        <v>219</v>
      </c>
      <c r="C23" s="839"/>
      <c r="D23" s="839"/>
      <c r="E23" s="839"/>
      <c r="F23" s="839"/>
    </row>
    <row r="24" spans="2:10">
      <c r="B24" s="840" t="s">
        <v>220</v>
      </c>
      <c r="C24" s="841"/>
      <c r="D24" s="841"/>
      <c r="E24" s="841"/>
      <c r="F24" s="841"/>
    </row>
    <row r="25" spans="2:10" ht="133.5" customHeight="1">
      <c r="B25" s="821" t="s">
        <v>221</v>
      </c>
      <c r="C25" s="822"/>
      <c r="D25" s="822"/>
      <c r="E25" s="822"/>
      <c r="F25" s="822"/>
    </row>
    <row r="26" spans="2:10" ht="51.75" customHeight="1">
      <c r="B26" s="146" t="s">
        <v>134</v>
      </c>
    </row>
    <row r="27" spans="2:10" ht="51.75" customHeight="1"/>
    <row r="31" spans="2:10">
      <c r="C31" s="147"/>
    </row>
  </sheetData>
  <mergeCells count="18">
    <mergeCell ref="B25:F25"/>
    <mergeCell ref="B10:F10"/>
    <mergeCell ref="B12:B13"/>
    <mergeCell ref="C12:C13"/>
    <mergeCell ref="D12:F13"/>
    <mergeCell ref="D14:F14"/>
    <mergeCell ref="D15:F15"/>
    <mergeCell ref="D16:F16"/>
    <mergeCell ref="B21:F21"/>
    <mergeCell ref="B22:F22"/>
    <mergeCell ref="B23:F23"/>
    <mergeCell ref="B24:F24"/>
    <mergeCell ref="B9:F9"/>
    <mergeCell ref="B1:D1"/>
    <mergeCell ref="B2:F2"/>
    <mergeCell ref="B3:F3"/>
    <mergeCell ref="B4:F4"/>
    <mergeCell ref="B7:F7"/>
  </mergeCells>
  <pageMargins left="0.25" right="0.25" top="0.75" bottom="0.75" header="0.3" footer="0.3"/>
  <pageSetup paperSize="9" scale="62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9EEB1-C955-4B94-BA8F-CA85EAD24FFA}">
  <sheetPr>
    <tabColor theme="4" tint="-0.249977111117893"/>
    <pageSetUpPr fitToPage="1"/>
  </sheetPr>
  <dimension ref="A1:F14"/>
  <sheetViews>
    <sheetView showGridLines="0" zoomScale="90" zoomScaleNormal="90" zoomScaleSheetLayoutView="70" zoomScalePageLayoutView="70" workbookViewId="0">
      <selection activeCell="I4" sqref="I4"/>
    </sheetView>
  </sheetViews>
  <sheetFormatPr defaultRowHeight="14.4"/>
  <cols>
    <col min="1" max="6" width="31" customWidth="1"/>
  </cols>
  <sheetData>
    <row r="1" spans="1:6" ht="14.55" customHeight="1">
      <c r="A1" s="496" t="s">
        <v>413</v>
      </c>
      <c r="B1" s="497"/>
      <c r="C1" s="497"/>
      <c r="D1" s="497"/>
      <c r="E1" s="497"/>
      <c r="F1" s="498"/>
    </row>
    <row r="2" spans="1:6" ht="40.5" customHeight="1" thickBot="1">
      <c r="A2" s="499"/>
      <c r="B2" s="500"/>
      <c r="C2" s="500"/>
      <c r="D2" s="500"/>
      <c r="E2" s="500"/>
      <c r="F2" s="501"/>
    </row>
    <row r="3" spans="1:6" s="338" customFormat="1" ht="22.5" customHeight="1" thickTop="1">
      <c r="A3" s="508" t="s">
        <v>433</v>
      </c>
      <c r="B3" s="509"/>
      <c r="C3" s="509"/>
      <c r="D3" s="509"/>
      <c r="E3" s="509"/>
      <c r="F3" s="510"/>
    </row>
    <row r="4" spans="1:6" s="338" customFormat="1" ht="50.4" customHeight="1">
      <c r="A4" s="511" t="s">
        <v>414</v>
      </c>
      <c r="B4" s="512"/>
      <c r="C4" s="512"/>
      <c r="D4" s="512"/>
      <c r="E4" s="512"/>
      <c r="F4" s="513"/>
    </row>
    <row r="5" spans="1:6" s="338" customFormat="1" ht="13.05" customHeight="1">
      <c r="A5" s="520" t="s">
        <v>445</v>
      </c>
      <c r="B5" s="521"/>
      <c r="C5" s="521"/>
      <c r="D5" s="521"/>
      <c r="E5" s="521"/>
      <c r="F5" s="522"/>
    </row>
    <row r="6" spans="1:6" s="338" customFormat="1" ht="15.45" customHeight="1">
      <c r="A6" s="517" t="s">
        <v>444</v>
      </c>
      <c r="B6" s="518"/>
      <c r="C6" s="518"/>
      <c r="D6" s="518"/>
      <c r="E6" s="518"/>
      <c r="F6" s="519"/>
    </row>
    <row r="7" spans="1:6" s="338" customFormat="1" ht="15.45" customHeight="1">
      <c r="A7" s="342"/>
      <c r="B7" s="343"/>
      <c r="C7" s="343"/>
      <c r="D7" s="343"/>
      <c r="E7" s="343"/>
      <c r="F7" s="344"/>
    </row>
    <row r="8" spans="1:6" s="338" customFormat="1" ht="58.8" customHeight="1">
      <c r="A8" s="514" t="s">
        <v>418</v>
      </c>
      <c r="B8" s="515"/>
      <c r="C8" s="515"/>
      <c r="D8" s="515"/>
      <c r="E8" s="515"/>
      <c r="F8" s="516"/>
    </row>
    <row r="9" spans="1:6" ht="54.45" customHeight="1">
      <c r="A9" s="502" t="s">
        <v>415</v>
      </c>
      <c r="B9" s="503"/>
      <c r="C9" s="503"/>
      <c r="D9" s="503"/>
      <c r="E9" s="503"/>
      <c r="F9" s="504"/>
    </row>
    <row r="10" spans="1:6" ht="45" customHeight="1">
      <c r="A10" s="505"/>
      <c r="B10" s="506"/>
      <c r="C10" s="506"/>
      <c r="D10" s="506"/>
      <c r="E10" s="506"/>
      <c r="F10" s="507"/>
    </row>
    <row r="11" spans="1:6" ht="45" customHeight="1">
      <c r="A11" s="505"/>
      <c r="B11" s="506"/>
      <c r="C11" s="506"/>
      <c r="D11" s="506"/>
      <c r="E11" s="506"/>
      <c r="F11" s="507"/>
    </row>
    <row r="12" spans="1:6" ht="45" customHeight="1">
      <c r="A12" s="505"/>
      <c r="B12" s="506"/>
      <c r="C12" s="506"/>
      <c r="D12" s="506"/>
      <c r="E12" s="506"/>
      <c r="F12" s="507"/>
    </row>
    <row r="13" spans="1:6" ht="45" customHeight="1">
      <c r="A13" s="505"/>
      <c r="B13" s="506"/>
      <c r="C13" s="506"/>
      <c r="D13" s="506"/>
      <c r="E13" s="506"/>
      <c r="F13" s="507"/>
    </row>
    <row r="14" spans="1:6" ht="15" thickBot="1">
      <c r="A14" s="339"/>
      <c r="B14" s="340"/>
      <c r="C14" s="340"/>
      <c r="D14" s="340"/>
      <c r="E14" s="340"/>
      <c r="F14" s="341"/>
    </row>
  </sheetData>
  <mergeCells count="11">
    <mergeCell ref="A13:F13"/>
    <mergeCell ref="A3:F3"/>
    <mergeCell ref="A4:F4"/>
    <mergeCell ref="A8:F8"/>
    <mergeCell ref="A6:F6"/>
    <mergeCell ref="A5:F5"/>
    <mergeCell ref="A1:F2"/>
    <mergeCell ref="A9:F9"/>
    <mergeCell ref="A10:F10"/>
    <mergeCell ref="A11:F11"/>
    <mergeCell ref="A12:F12"/>
  </mergeCells>
  <pageMargins left="0.25" right="0.25" top="0.75" bottom="0.75" header="0.3" footer="0.3"/>
  <pageSetup paperSize="9" scale="7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EE190-F147-4671-A9B9-0124433A020A}">
  <sheetPr>
    <tabColor theme="3" tint="-0.499984740745262"/>
    <pageSetUpPr fitToPage="1"/>
  </sheetPr>
  <dimension ref="A1:T155"/>
  <sheetViews>
    <sheetView view="pageBreakPreview" zoomScale="90" zoomScaleNormal="70" zoomScaleSheetLayoutView="90" workbookViewId="0">
      <selection activeCell="M14" sqref="M14"/>
    </sheetView>
  </sheetViews>
  <sheetFormatPr defaultColWidth="9.21875" defaultRowHeight="15.6"/>
  <cols>
    <col min="1" max="1" width="0.77734375" style="113" customWidth="1"/>
    <col min="2" max="2" width="18.5546875" style="113" customWidth="1"/>
    <col min="3" max="3" width="28.5546875" style="113" customWidth="1"/>
    <col min="4" max="4" width="29.44140625" style="113" customWidth="1"/>
    <col min="5" max="5" width="11.21875" style="113" customWidth="1"/>
    <col min="6" max="6" width="10.44140625" style="113" customWidth="1"/>
    <col min="7" max="7" width="15.77734375" style="113" customWidth="1"/>
    <col min="8" max="8" width="18.5546875" style="113" customWidth="1"/>
    <col min="9" max="9" width="20.5546875" style="113" customWidth="1"/>
    <col min="10" max="10" width="19.88671875" style="113" customWidth="1"/>
    <col min="11" max="11" width="5.44140625" style="113" customWidth="1"/>
    <col min="12" max="12" width="9.21875" style="113"/>
    <col min="13" max="13" width="18.109375" style="113" customWidth="1"/>
    <col min="14" max="14" width="15.5546875" style="113" bestFit="1" customWidth="1"/>
    <col min="15" max="15" width="9.21875" style="113"/>
    <col min="16" max="16" width="14.33203125" style="113" bestFit="1" customWidth="1"/>
    <col min="17" max="17" width="12.44140625" style="113" bestFit="1" customWidth="1"/>
    <col min="18" max="16384" width="9.21875" style="113"/>
  </cols>
  <sheetData>
    <row r="1" spans="1:20" ht="4.5" customHeight="1" thickBot="1">
      <c r="A1" s="112"/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</row>
    <row r="2" spans="1:20" ht="15.6" customHeight="1">
      <c r="A2" s="112"/>
      <c r="B2" s="563" t="s">
        <v>173</v>
      </c>
      <c r="C2" s="564"/>
      <c r="D2" s="564"/>
      <c r="E2" s="564"/>
      <c r="F2" s="564"/>
      <c r="G2" s="564"/>
      <c r="H2" s="564"/>
      <c r="I2" s="564"/>
      <c r="J2" s="565"/>
      <c r="K2" s="112"/>
      <c r="L2" s="112"/>
      <c r="M2" s="112"/>
      <c r="N2" s="112"/>
      <c r="O2" s="112"/>
      <c r="P2" s="112"/>
      <c r="Q2" s="112"/>
      <c r="R2" s="112"/>
      <c r="S2" s="112"/>
      <c r="T2" s="112"/>
    </row>
    <row r="3" spans="1:20">
      <c r="A3" s="112"/>
      <c r="B3" s="118"/>
      <c r="C3" s="437"/>
      <c r="D3" s="437"/>
      <c r="E3" s="437"/>
      <c r="F3" s="438"/>
      <c r="G3" s="438"/>
      <c r="H3" s="438"/>
      <c r="I3" s="437"/>
      <c r="J3" s="115"/>
      <c r="K3" s="112"/>
      <c r="L3" s="112"/>
      <c r="M3" s="112"/>
      <c r="N3" s="112"/>
      <c r="O3" s="112"/>
      <c r="P3" s="112"/>
      <c r="Q3" s="112"/>
      <c r="R3" s="112"/>
      <c r="S3" s="112"/>
      <c r="T3" s="112"/>
    </row>
    <row r="4" spans="1:20">
      <c r="A4" s="112"/>
      <c r="B4" s="118" t="s">
        <v>419</v>
      </c>
      <c r="C4" s="437"/>
      <c r="D4" s="437"/>
      <c r="E4" s="437"/>
      <c r="F4" s="438"/>
      <c r="G4" s="438"/>
      <c r="H4" s="438"/>
      <c r="I4" s="437"/>
      <c r="J4" s="115"/>
      <c r="K4" s="112"/>
      <c r="L4" s="112"/>
      <c r="M4" s="112"/>
      <c r="N4" s="112"/>
      <c r="O4" s="112"/>
      <c r="P4" s="112"/>
      <c r="Q4" s="112"/>
      <c r="R4" s="112"/>
      <c r="S4" s="112"/>
      <c r="T4" s="112"/>
    </row>
    <row r="5" spans="1:20">
      <c r="A5" s="112"/>
      <c r="B5" s="558" t="s">
        <v>446</v>
      </c>
      <c r="C5" s="559"/>
      <c r="D5" s="559"/>
      <c r="E5" s="559"/>
      <c r="F5" s="559"/>
      <c r="G5" s="559"/>
      <c r="H5" s="559"/>
      <c r="I5" s="559"/>
      <c r="J5" s="560"/>
      <c r="K5" s="112"/>
      <c r="L5" s="112"/>
      <c r="M5" s="112"/>
      <c r="N5" s="112"/>
      <c r="O5" s="112"/>
      <c r="P5" s="112"/>
      <c r="Q5" s="112"/>
      <c r="R5" s="112"/>
      <c r="S5" s="112"/>
      <c r="T5" s="112"/>
    </row>
    <row r="6" spans="1:20">
      <c r="A6" s="112"/>
      <c r="B6" s="347"/>
      <c r="C6" s="439"/>
      <c r="D6" s="439"/>
      <c r="E6" s="439"/>
      <c r="F6" s="439"/>
      <c r="G6" s="439"/>
      <c r="H6" s="439"/>
      <c r="I6" s="439"/>
      <c r="J6" s="348"/>
      <c r="K6" s="112"/>
      <c r="L6" s="112"/>
      <c r="M6" s="112"/>
      <c r="N6" s="112"/>
      <c r="O6" s="112"/>
      <c r="P6" s="112"/>
      <c r="Q6" s="112"/>
      <c r="R6" s="112"/>
      <c r="S6" s="112"/>
      <c r="T6" s="112"/>
    </row>
    <row r="7" spans="1:20">
      <c r="A7" s="112"/>
      <c r="B7" s="118"/>
      <c r="C7" s="437"/>
      <c r="D7" s="437"/>
      <c r="E7" s="437"/>
      <c r="F7" s="438"/>
      <c r="G7" s="438"/>
      <c r="H7" s="438"/>
      <c r="I7" s="437"/>
      <c r="J7" s="115"/>
      <c r="K7" s="112"/>
      <c r="L7" s="112"/>
      <c r="M7" s="112"/>
      <c r="N7" s="112"/>
      <c r="O7" s="112"/>
      <c r="P7" s="112"/>
      <c r="Q7" s="112"/>
      <c r="R7" s="112"/>
      <c r="S7" s="112"/>
      <c r="T7" s="112"/>
    </row>
    <row r="8" spans="1:20" ht="21.45" customHeight="1">
      <c r="A8" s="112"/>
      <c r="B8" s="114" t="s">
        <v>197</v>
      </c>
      <c r="C8" s="569"/>
      <c r="D8" s="569"/>
      <c r="E8" s="569"/>
      <c r="F8" s="569"/>
      <c r="G8" s="569"/>
      <c r="H8" s="436"/>
      <c r="I8" s="437"/>
      <c r="J8" s="115"/>
      <c r="K8" s="112"/>
      <c r="L8" s="112"/>
      <c r="M8" s="112"/>
      <c r="N8" s="112"/>
      <c r="O8" s="112"/>
      <c r="P8" s="112"/>
      <c r="Q8" s="112"/>
      <c r="R8" s="112"/>
      <c r="S8" s="112"/>
      <c r="T8" s="112"/>
    </row>
    <row r="9" spans="1:20" ht="21.45" customHeight="1">
      <c r="A9" s="112"/>
      <c r="B9" s="114" t="s">
        <v>198</v>
      </c>
      <c r="C9" s="566"/>
      <c r="D9" s="566"/>
      <c r="E9" s="566"/>
      <c r="F9" s="566"/>
      <c r="G9" s="566"/>
      <c r="H9" s="442"/>
      <c r="I9" s="437"/>
      <c r="J9" s="115"/>
      <c r="K9" s="112"/>
      <c r="L9" s="112"/>
      <c r="M9" s="112"/>
      <c r="N9" s="112"/>
      <c r="O9" s="112"/>
      <c r="P9" s="112"/>
      <c r="Q9" s="112"/>
      <c r="R9" s="112"/>
      <c r="S9" s="112"/>
      <c r="T9" s="112"/>
    </row>
    <row r="10" spans="1:20" ht="21.45" customHeight="1">
      <c r="A10" s="112"/>
      <c r="B10" s="114" t="s">
        <v>199</v>
      </c>
      <c r="C10" s="542"/>
      <c r="D10" s="542"/>
      <c r="E10" s="542"/>
      <c r="F10" s="542"/>
      <c r="G10" s="542"/>
      <c r="H10" s="443"/>
      <c r="I10" s="437"/>
      <c r="J10" s="115"/>
      <c r="K10" s="112"/>
      <c r="L10" s="112"/>
      <c r="M10" s="112"/>
      <c r="N10" s="112"/>
      <c r="O10" s="112"/>
      <c r="P10" s="112"/>
      <c r="Q10" s="112"/>
      <c r="R10" s="112"/>
      <c r="S10" s="112"/>
      <c r="T10" s="112"/>
    </row>
    <row r="11" spans="1:20" ht="21.45" customHeight="1">
      <c r="A11" s="112"/>
      <c r="B11" s="114" t="s">
        <v>200</v>
      </c>
      <c r="C11" s="542"/>
      <c r="D11" s="542"/>
      <c r="E11" s="542"/>
      <c r="F11" s="542"/>
      <c r="G11" s="542"/>
      <c r="H11" s="444"/>
      <c r="I11" s="437"/>
      <c r="J11" s="115"/>
      <c r="K11" s="112"/>
      <c r="L11" s="112"/>
      <c r="M11" s="112"/>
      <c r="N11" s="112"/>
      <c r="O11" s="112"/>
      <c r="P11" s="112"/>
      <c r="Q11" s="112"/>
      <c r="R11" s="112"/>
      <c r="S11" s="112"/>
      <c r="T11" s="112"/>
    </row>
    <row r="12" spans="1:20" ht="21.45" customHeight="1">
      <c r="A12" s="112"/>
      <c r="B12" s="114" t="s">
        <v>201</v>
      </c>
      <c r="C12" s="542"/>
      <c r="D12" s="542"/>
      <c r="E12" s="440" t="s">
        <v>176</v>
      </c>
      <c r="F12" s="568"/>
      <c r="G12" s="568"/>
      <c r="H12" s="440" t="s">
        <v>177</v>
      </c>
      <c r="I12" s="528"/>
      <c r="J12" s="529"/>
      <c r="K12" s="112"/>
      <c r="L12" s="112"/>
      <c r="M12" s="112"/>
      <c r="N12" s="112"/>
      <c r="O12" s="112"/>
      <c r="P12" s="112"/>
      <c r="Q12" s="112"/>
      <c r="R12" s="112"/>
      <c r="S12" s="112"/>
      <c r="T12" s="112"/>
    </row>
    <row r="13" spans="1:20" ht="21.45" customHeight="1">
      <c r="A13" s="112"/>
      <c r="B13" s="114" t="s">
        <v>202</v>
      </c>
      <c r="C13" s="542"/>
      <c r="D13" s="542"/>
      <c r="E13" s="445"/>
      <c r="F13" s="446"/>
      <c r="G13" s="446"/>
      <c r="H13" s="440" t="s">
        <v>178</v>
      </c>
      <c r="I13" s="530"/>
      <c r="J13" s="531"/>
      <c r="K13" s="112"/>
      <c r="L13" s="112"/>
      <c r="M13" s="112"/>
      <c r="N13" s="112"/>
      <c r="O13" s="112"/>
      <c r="P13" s="112"/>
      <c r="Q13" s="112"/>
      <c r="R13" s="112"/>
      <c r="S13" s="112"/>
      <c r="T13" s="112"/>
    </row>
    <row r="14" spans="1:20" ht="21.45" customHeight="1">
      <c r="A14" s="112"/>
      <c r="B14" s="576" t="s">
        <v>203</v>
      </c>
      <c r="C14" s="568"/>
      <c r="D14" s="568"/>
      <c r="E14" s="445"/>
      <c r="F14" s="426"/>
      <c r="G14" s="426"/>
      <c r="H14" s="426"/>
      <c r="I14" s="437"/>
      <c r="J14" s="115"/>
      <c r="K14" s="112"/>
      <c r="L14" s="112"/>
      <c r="M14" s="112"/>
      <c r="N14" s="112"/>
      <c r="O14" s="112"/>
      <c r="P14" s="112"/>
      <c r="Q14" s="112"/>
      <c r="R14" s="112"/>
      <c r="S14" s="112"/>
      <c r="T14" s="112"/>
    </row>
    <row r="15" spans="1:20">
      <c r="A15" s="112"/>
      <c r="B15" s="576"/>
      <c r="C15" s="440"/>
      <c r="D15" s="440"/>
      <c r="E15" s="440"/>
      <c r="F15" s="440"/>
      <c r="G15" s="440"/>
      <c r="H15" s="440"/>
      <c r="I15" s="437"/>
      <c r="J15" s="115"/>
      <c r="K15" s="112"/>
      <c r="L15" s="112"/>
      <c r="M15" s="112"/>
      <c r="N15" s="112"/>
      <c r="O15" s="112"/>
      <c r="P15" s="112"/>
      <c r="Q15" s="112"/>
      <c r="R15" s="112"/>
      <c r="S15" s="112"/>
      <c r="T15" s="112"/>
    </row>
    <row r="16" spans="1:20" ht="34.049999999999997" customHeight="1">
      <c r="A16" s="112"/>
      <c r="B16" s="570" t="s">
        <v>430</v>
      </c>
      <c r="C16" s="571"/>
      <c r="D16" s="571"/>
      <c r="E16" s="571"/>
      <c r="F16" s="571"/>
      <c r="G16" s="571"/>
      <c r="H16" s="571"/>
      <c r="I16" s="571"/>
      <c r="J16" s="572"/>
      <c r="K16" s="112"/>
      <c r="L16" s="112"/>
      <c r="M16" s="112"/>
      <c r="N16" s="112"/>
      <c r="O16" s="112"/>
      <c r="P16" s="112"/>
      <c r="Q16" s="112"/>
      <c r="R16" s="112"/>
      <c r="S16" s="112"/>
      <c r="T16" s="112"/>
    </row>
    <row r="17" spans="1:20" ht="19.5" customHeight="1">
      <c r="A17" s="112"/>
      <c r="B17" s="573"/>
      <c r="C17" s="574"/>
      <c r="D17" s="574"/>
      <c r="E17" s="574"/>
      <c r="F17" s="574"/>
      <c r="G17" s="574"/>
      <c r="H17" s="574"/>
      <c r="I17" s="574"/>
      <c r="J17" s="575"/>
      <c r="K17" s="112"/>
      <c r="L17" s="112"/>
      <c r="M17" s="112"/>
      <c r="N17" s="112"/>
      <c r="O17" s="112"/>
      <c r="P17" s="112"/>
      <c r="Q17" s="112"/>
      <c r="R17" s="112"/>
      <c r="S17" s="112"/>
      <c r="T17" s="112"/>
    </row>
    <row r="18" spans="1:20" ht="28.5" customHeight="1">
      <c r="A18" s="112"/>
      <c r="B18" s="577" t="s">
        <v>337</v>
      </c>
      <c r="C18" s="567" t="s">
        <v>436</v>
      </c>
      <c r="D18" s="567"/>
      <c r="E18" s="567"/>
      <c r="F18" s="567"/>
      <c r="G18" s="258" t="s">
        <v>325</v>
      </c>
      <c r="H18" s="258" t="s">
        <v>438</v>
      </c>
      <c r="I18" s="258" t="s">
        <v>437</v>
      </c>
      <c r="J18" s="441" t="s">
        <v>439</v>
      </c>
      <c r="K18" s="112"/>
      <c r="L18" s="112"/>
      <c r="M18" s="112"/>
      <c r="N18" s="112"/>
      <c r="O18" s="112"/>
      <c r="P18" s="112"/>
      <c r="Q18" s="112"/>
      <c r="R18" s="112"/>
      <c r="S18" s="112"/>
      <c r="T18" s="112"/>
    </row>
    <row r="19" spans="1:20" ht="30" customHeight="1">
      <c r="A19" s="112"/>
      <c r="B19" s="578"/>
      <c r="C19" s="561" t="s">
        <v>429</v>
      </c>
      <c r="D19" s="423" t="str">
        <f>+'2-EMPREGADOS X PRODUTIVIDADE'!C15</f>
        <v>Servente / Auxiliar de Limpeza</v>
      </c>
      <c r="E19" s="532">
        <f>+F19+F20</f>
        <v>4043</v>
      </c>
      <c r="F19" s="117">
        <f>+'2-EMPREGADOS X PRODUTIVIDADE'!E15</f>
        <v>2695.3333333333335</v>
      </c>
      <c r="G19" s="259">
        <f>+'3-PREÇO POR M²'!E13</f>
        <v>5.8531750000000002</v>
      </c>
      <c r="H19" s="447">
        <f>+F19*G19</f>
        <v>15776.257683333335</v>
      </c>
      <c r="I19" s="536">
        <f>ROUND(SUM(H19:H24),2)</f>
        <v>30167.68</v>
      </c>
      <c r="J19" s="539">
        <f>I19*12</f>
        <v>362012.16000000003</v>
      </c>
      <c r="K19" s="112"/>
      <c r="L19" s="112"/>
      <c r="M19" s="112"/>
      <c r="N19" s="392"/>
      <c r="O19" s="112"/>
      <c r="P19" s="112"/>
      <c r="Q19" s="112"/>
      <c r="R19" s="112"/>
      <c r="S19" s="112"/>
      <c r="T19" s="112"/>
    </row>
    <row r="20" spans="1:20" ht="30" customHeight="1">
      <c r="A20" s="112"/>
      <c r="B20" s="578"/>
      <c r="C20" s="562"/>
      <c r="D20" s="423" t="str">
        <f>+'2-EMPREGADOS X PRODUTIVIDADE'!C16</f>
        <v>Agente de Higienização</v>
      </c>
      <c r="E20" s="533"/>
      <c r="F20" s="117">
        <f>+'2-EMPREGADOS X PRODUTIVIDADE'!E16</f>
        <v>1347.6666666666667</v>
      </c>
      <c r="G20" s="259">
        <f>+'3-PREÇO POR M²'!E15</f>
        <v>7.39405</v>
      </c>
      <c r="H20" s="447">
        <f t="shared" ref="H20:H24" si="0">+F20*G20</f>
        <v>9964.7147166666673</v>
      </c>
      <c r="I20" s="537"/>
      <c r="J20" s="540"/>
      <c r="K20" s="112"/>
      <c r="L20" s="112"/>
      <c r="M20" s="112"/>
      <c r="N20" s="392"/>
      <c r="O20" s="112"/>
      <c r="P20" s="112"/>
      <c r="Q20" s="393"/>
      <c r="R20" s="393"/>
      <c r="S20" s="112"/>
      <c r="T20" s="112"/>
    </row>
    <row r="21" spans="1:20" ht="30" customHeight="1">
      <c r="A21" s="112"/>
      <c r="B21" s="578"/>
      <c r="C21" s="561" t="s">
        <v>191</v>
      </c>
      <c r="D21" s="423" t="str">
        <f>+'2-EMPREGADOS X PRODUTIVIDADE'!C17</f>
        <v>Servente / Auxiliar de Limpeza</v>
      </c>
      <c r="E21" s="532">
        <f>+F21+F22</f>
        <v>736</v>
      </c>
      <c r="F21" s="117">
        <f>+'2-EMPREGADOS X PRODUTIVIDADE'!E17</f>
        <v>490.66666666666669</v>
      </c>
      <c r="G21" s="259">
        <f>+'3-PREÇO POR M²'!E22</f>
        <v>2.6</v>
      </c>
      <c r="H21" s="447">
        <f t="shared" si="0"/>
        <v>1275.7333333333333</v>
      </c>
      <c r="I21" s="537"/>
      <c r="J21" s="540"/>
      <c r="K21" s="112"/>
      <c r="L21" s="112"/>
      <c r="M21" s="112"/>
      <c r="N21" s="392"/>
      <c r="O21" s="112"/>
      <c r="P21" s="392"/>
      <c r="Q21" s="112"/>
      <c r="R21" s="112"/>
      <c r="S21" s="112"/>
      <c r="T21" s="112"/>
    </row>
    <row r="22" spans="1:20" ht="30" customHeight="1">
      <c r="A22" s="112"/>
      <c r="B22" s="578"/>
      <c r="C22" s="562"/>
      <c r="D22" s="423" t="str">
        <f>+'2-EMPREGADOS X PRODUTIVIDADE'!C18</f>
        <v>Agente de Higienização</v>
      </c>
      <c r="E22" s="533"/>
      <c r="F22" s="117">
        <f>+'2-EMPREGADOS X PRODUTIVIDADE'!E18</f>
        <v>245.33333333333334</v>
      </c>
      <c r="G22" s="259">
        <f>+'3-PREÇO POR M²'!E24</f>
        <v>3.2862444444444443</v>
      </c>
      <c r="H22" s="447">
        <f t="shared" si="0"/>
        <v>806.22530370370373</v>
      </c>
      <c r="I22" s="537"/>
      <c r="J22" s="540"/>
      <c r="K22" s="112"/>
      <c r="L22" s="112"/>
      <c r="M22" s="112"/>
      <c r="N22" s="392"/>
      <c r="O22" s="112"/>
      <c r="P22" s="392"/>
      <c r="Q22" s="112"/>
      <c r="R22" s="112"/>
      <c r="S22" s="112"/>
      <c r="T22" s="112"/>
    </row>
    <row r="23" spans="1:20" ht="30" customHeight="1">
      <c r="A23" s="112"/>
      <c r="B23" s="578"/>
      <c r="C23" s="580" t="s">
        <v>192</v>
      </c>
      <c r="D23" s="423" t="str">
        <f>+'2-EMPREGADOS X PRODUTIVIDADE'!C19</f>
        <v>Servente / Auxiliar de Limpeza</v>
      </c>
      <c r="E23" s="534">
        <f>+F23+F24</f>
        <v>2763</v>
      </c>
      <c r="F23" s="117">
        <f>+'2-EMPREGADOS X PRODUTIVIDADE'!E19</f>
        <v>1842</v>
      </c>
      <c r="G23" s="259">
        <f>+'3-PREÇO POR M²'!E31</f>
        <v>0.78</v>
      </c>
      <c r="H23" s="447">
        <f t="shared" si="0"/>
        <v>1436.76</v>
      </c>
      <c r="I23" s="537"/>
      <c r="J23" s="540"/>
      <c r="K23" s="112"/>
      <c r="L23" s="112"/>
      <c r="M23" s="112"/>
      <c r="N23" s="392"/>
      <c r="O23" s="112"/>
      <c r="P23" s="112"/>
      <c r="Q23" s="112"/>
      <c r="R23" s="112"/>
      <c r="S23" s="112"/>
      <c r="T23" s="112"/>
    </row>
    <row r="24" spans="1:20" ht="30" customHeight="1">
      <c r="A24" s="112"/>
      <c r="B24" s="578"/>
      <c r="C24" s="581"/>
      <c r="D24" s="423" t="str">
        <f>+'2-EMPREGADOS X PRODUTIVIDADE'!C20</f>
        <v>Agente de Higienização</v>
      </c>
      <c r="E24" s="535"/>
      <c r="F24" s="117">
        <f>+'2-EMPREGADOS X PRODUTIVIDADE'!E20</f>
        <v>921</v>
      </c>
      <c r="G24" s="422">
        <f>+'3-PREÇO POR M²'!E33</f>
        <v>0.98587333333333327</v>
      </c>
      <c r="H24" s="447">
        <f t="shared" si="0"/>
        <v>907.98933999999997</v>
      </c>
      <c r="I24" s="538"/>
      <c r="J24" s="541"/>
      <c r="K24" s="112"/>
      <c r="L24" s="112"/>
      <c r="M24" s="112"/>
      <c r="N24" s="392"/>
      <c r="O24" s="112"/>
      <c r="P24" s="112"/>
      <c r="Q24" s="112"/>
      <c r="R24" s="112"/>
      <c r="S24" s="112"/>
      <c r="T24" s="112"/>
    </row>
    <row r="25" spans="1:20" s="434" customFormat="1" ht="30" customHeight="1">
      <c r="A25" s="432"/>
      <c r="B25" s="578"/>
      <c r="C25" s="523" t="s">
        <v>441</v>
      </c>
      <c r="D25" s="524"/>
      <c r="E25" s="524"/>
      <c r="F25" s="524"/>
      <c r="G25" s="524"/>
      <c r="H25" s="525"/>
      <c r="I25" s="428">
        <f>'4c-CUSTOS LIDER'!D146</f>
        <v>4999.08</v>
      </c>
      <c r="J25" s="430">
        <f>+I25*12</f>
        <v>59988.959999999999</v>
      </c>
      <c r="K25" s="432"/>
      <c r="L25" s="432"/>
      <c r="M25" s="432"/>
      <c r="N25" s="432"/>
      <c r="O25" s="433"/>
      <c r="P25" s="432"/>
      <c r="Q25" s="432"/>
      <c r="R25" s="432"/>
      <c r="S25" s="432"/>
      <c r="T25" s="432"/>
    </row>
    <row r="26" spans="1:20" s="434" customFormat="1" ht="30" customHeight="1">
      <c r="A26" s="432"/>
      <c r="B26" s="578"/>
      <c r="C26" s="523" t="s">
        <v>440</v>
      </c>
      <c r="D26" s="524"/>
      <c r="E26" s="524"/>
      <c r="F26" s="524"/>
      <c r="G26" s="524"/>
      <c r="H26" s="525"/>
      <c r="I26" s="429">
        <f>'4d-CUSTOS COPEIRA'!D146</f>
        <v>4706.63</v>
      </c>
      <c r="J26" s="431">
        <f>I26*12</f>
        <v>56479.56</v>
      </c>
      <c r="K26" s="432"/>
      <c r="L26" s="432"/>
      <c r="M26" s="432"/>
      <c r="N26" s="432"/>
      <c r="O26" s="435"/>
      <c r="P26" s="432"/>
      <c r="Q26" s="432"/>
      <c r="R26" s="432"/>
      <c r="S26" s="432"/>
      <c r="T26" s="432"/>
    </row>
    <row r="27" spans="1:20" s="434" customFormat="1" ht="30" customHeight="1">
      <c r="A27" s="432"/>
      <c r="B27" s="578"/>
      <c r="C27" s="523" t="s">
        <v>335</v>
      </c>
      <c r="D27" s="524"/>
      <c r="E27" s="524"/>
      <c r="F27" s="524"/>
      <c r="G27" s="524"/>
      <c r="H27" s="524"/>
      <c r="I27" s="525"/>
      <c r="J27" s="431">
        <f>'9-CUSTOS CONT. PRAGAS'!F14</f>
        <v>0</v>
      </c>
      <c r="K27" s="432"/>
      <c r="L27" s="432"/>
      <c r="M27" s="432"/>
      <c r="N27" s="432"/>
      <c r="O27" s="432"/>
      <c r="P27" s="432"/>
      <c r="Q27" s="432"/>
      <c r="R27" s="432"/>
      <c r="S27" s="432"/>
      <c r="T27" s="432"/>
    </row>
    <row r="28" spans="1:20" s="434" customFormat="1" ht="30" customHeight="1">
      <c r="A28" s="432"/>
      <c r="B28" s="579"/>
      <c r="C28" s="523" t="s">
        <v>336</v>
      </c>
      <c r="D28" s="524"/>
      <c r="E28" s="524"/>
      <c r="F28" s="524"/>
      <c r="G28" s="524"/>
      <c r="H28" s="524"/>
      <c r="I28" s="525"/>
      <c r="J28" s="431">
        <f>'8-CUSTOS RESERVATORIOS'!F13</f>
        <v>0</v>
      </c>
      <c r="K28" s="432"/>
      <c r="L28" s="432"/>
      <c r="M28" s="432"/>
      <c r="N28" s="432"/>
      <c r="O28" s="432"/>
      <c r="P28" s="432"/>
      <c r="Q28" s="432"/>
      <c r="R28" s="432"/>
      <c r="S28" s="432"/>
      <c r="T28" s="432"/>
    </row>
    <row r="29" spans="1:20" ht="27" customHeight="1">
      <c r="A29" s="112"/>
      <c r="B29" s="546" t="s">
        <v>189</v>
      </c>
      <c r="C29" s="547"/>
      <c r="D29" s="547"/>
      <c r="E29" s="547"/>
      <c r="F29" s="547"/>
      <c r="G29" s="548"/>
      <c r="H29" s="427"/>
      <c r="I29" s="549">
        <f>ROUND(SUM(J19:J28)/12,2)</f>
        <v>39873.39</v>
      </c>
      <c r="J29" s="550"/>
      <c r="K29" s="112"/>
      <c r="L29" s="112"/>
      <c r="M29" s="112"/>
      <c r="N29" s="112"/>
      <c r="O29" s="112"/>
      <c r="P29" s="112"/>
      <c r="Q29" s="112"/>
      <c r="R29" s="112"/>
      <c r="S29" s="112"/>
      <c r="T29" s="112"/>
    </row>
    <row r="30" spans="1:20" ht="27" customHeight="1">
      <c r="A30" s="112"/>
      <c r="B30" s="546" t="s">
        <v>421</v>
      </c>
      <c r="C30" s="547"/>
      <c r="D30" s="547"/>
      <c r="E30" s="547"/>
      <c r="F30" s="547"/>
      <c r="G30" s="548"/>
      <c r="H30" s="427"/>
      <c r="I30" s="549">
        <f>+I29*12</f>
        <v>478480.68</v>
      </c>
      <c r="J30" s="550"/>
      <c r="K30" s="112"/>
      <c r="L30" s="112"/>
      <c r="M30" s="112"/>
      <c r="N30" s="112"/>
      <c r="O30" s="112"/>
      <c r="P30" s="112"/>
      <c r="Q30" s="112"/>
      <c r="R30" s="112"/>
      <c r="S30" s="112"/>
      <c r="T30" s="112"/>
    </row>
    <row r="31" spans="1:20" ht="27" customHeight="1">
      <c r="A31" s="112"/>
      <c r="B31" s="546" t="s">
        <v>422</v>
      </c>
      <c r="C31" s="547"/>
      <c r="D31" s="547"/>
      <c r="E31" s="547"/>
      <c r="F31" s="547"/>
      <c r="G31" s="548"/>
      <c r="H31" s="427"/>
      <c r="I31" s="549">
        <f>+I29*24</f>
        <v>956961.36</v>
      </c>
      <c r="J31" s="550"/>
      <c r="K31" s="112"/>
      <c r="L31" s="112"/>
      <c r="M31" s="112"/>
      <c r="N31" s="112"/>
      <c r="O31" s="112"/>
      <c r="P31" s="112"/>
      <c r="Q31" s="112"/>
      <c r="R31" s="112"/>
      <c r="S31" s="112"/>
      <c r="T31" s="112"/>
    </row>
    <row r="32" spans="1:20">
      <c r="A32" s="112"/>
      <c r="B32" s="118"/>
      <c r="C32" s="112"/>
      <c r="D32" s="112"/>
      <c r="E32" s="112"/>
      <c r="F32" s="112"/>
      <c r="G32" s="112"/>
      <c r="H32" s="112"/>
      <c r="I32" s="112"/>
      <c r="J32" s="119"/>
      <c r="K32" s="112"/>
      <c r="L32" s="112"/>
      <c r="M32" s="112"/>
      <c r="N32" s="112"/>
      <c r="O32" s="112"/>
      <c r="P32" s="112"/>
      <c r="Q32" s="112"/>
      <c r="R32" s="112"/>
      <c r="S32" s="112"/>
      <c r="T32" s="112"/>
    </row>
    <row r="33" spans="1:20">
      <c r="A33" s="112"/>
      <c r="B33" s="120" t="s">
        <v>179</v>
      </c>
      <c r="C33" s="112"/>
      <c r="D33" s="112"/>
      <c r="E33" s="112"/>
      <c r="F33" s="112"/>
      <c r="G33" s="112"/>
      <c r="H33" s="112"/>
      <c r="I33" s="112"/>
      <c r="J33" s="119"/>
      <c r="K33" s="112"/>
      <c r="L33" s="112"/>
      <c r="M33" s="112"/>
      <c r="N33" s="112"/>
      <c r="O33" s="112"/>
      <c r="P33" s="112"/>
      <c r="Q33" s="112"/>
      <c r="R33" s="112"/>
      <c r="S33" s="112"/>
      <c r="T33" s="112"/>
    </row>
    <row r="34" spans="1:20">
      <c r="A34" s="112"/>
      <c r="B34" s="551" t="s">
        <v>180</v>
      </c>
      <c r="C34" s="552"/>
      <c r="D34" s="552"/>
      <c r="E34" s="552"/>
      <c r="F34" s="552"/>
      <c r="G34" s="552"/>
      <c r="H34" s="552"/>
      <c r="I34" s="552"/>
      <c r="J34" s="553"/>
      <c r="K34" s="112"/>
      <c r="L34" s="112"/>
      <c r="M34" s="112"/>
      <c r="N34" s="112"/>
      <c r="O34" s="112"/>
      <c r="P34" s="112"/>
      <c r="Q34" s="112"/>
      <c r="R34" s="112"/>
      <c r="S34" s="112"/>
      <c r="T34" s="112"/>
    </row>
    <row r="35" spans="1:20">
      <c r="A35" s="112"/>
      <c r="B35" s="118"/>
      <c r="C35" s="112"/>
      <c r="D35" s="112"/>
      <c r="E35" s="112"/>
      <c r="F35" s="112"/>
      <c r="G35" s="112"/>
      <c r="H35" s="112"/>
      <c r="I35" s="112"/>
      <c r="J35" s="119"/>
      <c r="K35" s="112"/>
      <c r="L35" s="112"/>
      <c r="M35" s="112"/>
      <c r="N35" s="112"/>
      <c r="O35" s="112"/>
      <c r="P35" s="112"/>
      <c r="Q35" s="112"/>
      <c r="R35" s="112"/>
      <c r="S35" s="112"/>
      <c r="T35" s="112"/>
    </row>
    <row r="36" spans="1:20">
      <c r="A36" s="112"/>
      <c r="B36" s="551" t="s">
        <v>181</v>
      </c>
      <c r="C36" s="552"/>
      <c r="D36" s="552"/>
      <c r="E36" s="552"/>
      <c r="F36" s="552"/>
      <c r="G36" s="552"/>
      <c r="H36" s="552"/>
      <c r="I36" s="552"/>
      <c r="J36" s="553"/>
      <c r="K36" s="112"/>
      <c r="L36" s="112"/>
      <c r="M36" s="112"/>
      <c r="N36" s="112"/>
      <c r="O36" s="112"/>
      <c r="P36" s="112"/>
      <c r="Q36" s="112"/>
      <c r="R36" s="112"/>
      <c r="S36" s="112"/>
      <c r="T36" s="112"/>
    </row>
    <row r="37" spans="1:20">
      <c r="A37" s="112"/>
      <c r="B37" s="118"/>
      <c r="C37" s="112"/>
      <c r="D37" s="112"/>
      <c r="E37" s="112"/>
      <c r="F37" s="112"/>
      <c r="G37" s="112"/>
      <c r="H37" s="112"/>
      <c r="I37" s="112"/>
      <c r="J37" s="119"/>
      <c r="K37" s="112"/>
      <c r="L37" s="112"/>
      <c r="M37" s="112"/>
      <c r="N37" s="112"/>
      <c r="O37" s="112"/>
      <c r="P37" s="112"/>
      <c r="Q37" s="112"/>
      <c r="R37" s="112"/>
      <c r="S37" s="112"/>
      <c r="T37" s="112"/>
    </row>
    <row r="38" spans="1:20">
      <c r="A38" s="112"/>
      <c r="B38" s="554" t="s">
        <v>182</v>
      </c>
      <c r="C38" s="555"/>
      <c r="D38" s="555"/>
      <c r="E38" s="555"/>
      <c r="F38" s="555"/>
      <c r="G38" s="555"/>
      <c r="H38" s="555"/>
      <c r="I38" s="555"/>
      <c r="J38" s="119"/>
      <c r="K38" s="112"/>
      <c r="L38" s="112"/>
      <c r="M38" s="112"/>
      <c r="N38" s="112"/>
      <c r="O38" s="112"/>
      <c r="P38" s="112"/>
      <c r="Q38" s="112"/>
      <c r="R38" s="112"/>
      <c r="S38" s="112"/>
      <c r="T38" s="112"/>
    </row>
    <row r="39" spans="1:20">
      <c r="A39" s="112"/>
      <c r="B39" s="116" t="s">
        <v>183</v>
      </c>
      <c r="C39" s="527"/>
      <c r="D39" s="527"/>
      <c r="E39" s="527"/>
      <c r="F39" s="527"/>
      <c r="G39" s="527"/>
      <c r="H39" s="424"/>
      <c r="I39" s="437"/>
      <c r="J39" s="119"/>
      <c r="K39" s="112"/>
      <c r="L39" s="112"/>
      <c r="M39" s="112"/>
      <c r="N39" s="112"/>
      <c r="O39" s="112"/>
      <c r="P39" s="112"/>
      <c r="Q39" s="112"/>
      <c r="R39" s="112"/>
      <c r="S39" s="112"/>
      <c r="T39" s="112"/>
    </row>
    <row r="40" spans="1:20">
      <c r="A40" s="112"/>
      <c r="B40" s="116" t="s">
        <v>184</v>
      </c>
      <c r="C40" s="527"/>
      <c r="D40" s="527"/>
      <c r="E40" s="527"/>
      <c r="F40" s="527"/>
      <c r="G40" s="527"/>
      <c r="H40" s="424"/>
      <c r="I40" s="437"/>
      <c r="J40" s="119"/>
      <c r="K40" s="112"/>
      <c r="L40" s="112"/>
      <c r="M40" s="112"/>
      <c r="N40" s="112"/>
      <c r="O40" s="112"/>
      <c r="P40" s="112"/>
      <c r="Q40" s="112"/>
      <c r="R40" s="112"/>
      <c r="S40" s="112"/>
      <c r="T40" s="112"/>
    </row>
    <row r="41" spans="1:20">
      <c r="A41" s="112"/>
      <c r="B41" s="116" t="s">
        <v>174</v>
      </c>
      <c r="C41" s="526"/>
      <c r="D41" s="526"/>
      <c r="E41" s="526"/>
      <c r="F41" s="526"/>
      <c r="G41" s="526"/>
      <c r="H41" s="425"/>
      <c r="I41" s="437"/>
      <c r="J41" s="119"/>
      <c r="K41" s="112"/>
      <c r="L41" s="112"/>
      <c r="M41" s="112"/>
      <c r="N41" s="112"/>
      <c r="O41" s="112"/>
      <c r="P41" s="112"/>
      <c r="Q41" s="112"/>
      <c r="R41" s="112"/>
      <c r="S41" s="112"/>
      <c r="T41" s="112"/>
    </row>
    <row r="42" spans="1:20">
      <c r="A42" s="112"/>
      <c r="B42" s="116" t="s">
        <v>175</v>
      </c>
      <c r="C42" s="526"/>
      <c r="D42" s="526"/>
      <c r="E42" s="526"/>
      <c r="F42" s="526"/>
      <c r="G42" s="526"/>
      <c r="H42" s="425"/>
      <c r="I42" s="437"/>
      <c r="J42" s="119"/>
      <c r="K42" s="112"/>
      <c r="L42" s="112"/>
      <c r="M42" s="112"/>
      <c r="N42" s="112"/>
      <c r="O42" s="112"/>
      <c r="P42" s="112"/>
      <c r="Q42" s="112"/>
      <c r="R42" s="112"/>
      <c r="S42" s="112"/>
      <c r="T42" s="112"/>
    </row>
    <row r="43" spans="1:20">
      <c r="A43" s="112"/>
      <c r="B43" s="116" t="s">
        <v>185</v>
      </c>
      <c r="C43" s="526"/>
      <c r="D43" s="526"/>
      <c r="E43" s="526"/>
      <c r="F43" s="526"/>
      <c r="G43" s="526"/>
      <c r="H43" s="425"/>
      <c r="I43" s="112"/>
      <c r="J43" s="119"/>
      <c r="K43" s="112"/>
      <c r="L43" s="112"/>
      <c r="M43" s="112"/>
      <c r="N43" s="112"/>
      <c r="O43" s="112"/>
      <c r="P43" s="112"/>
      <c r="Q43" s="112"/>
      <c r="R43" s="112"/>
      <c r="S43" s="112"/>
      <c r="T43" s="112"/>
    </row>
    <row r="44" spans="1:20">
      <c r="A44" s="112"/>
      <c r="B44" s="116" t="s">
        <v>186</v>
      </c>
      <c r="C44" s="425"/>
      <c r="D44" s="425"/>
      <c r="E44" s="425"/>
      <c r="F44" s="112"/>
      <c r="G44" s="112" t="s">
        <v>187</v>
      </c>
      <c r="H44" s="556"/>
      <c r="I44" s="556"/>
      <c r="J44" s="557"/>
      <c r="K44" s="112"/>
      <c r="L44" s="112"/>
      <c r="M44" s="112"/>
      <c r="N44" s="112"/>
      <c r="O44" s="112"/>
      <c r="P44" s="112"/>
      <c r="Q44" s="112"/>
      <c r="R44" s="112"/>
      <c r="S44" s="112"/>
      <c r="T44" s="112"/>
    </row>
    <row r="45" spans="1:20">
      <c r="A45" s="112"/>
      <c r="B45" s="116" t="s">
        <v>188</v>
      </c>
      <c r="C45" s="425"/>
      <c r="D45" s="425"/>
      <c r="E45" s="425"/>
      <c r="F45" s="112"/>
      <c r="G45" s="112" t="s">
        <v>178</v>
      </c>
      <c r="H45" s="556"/>
      <c r="I45" s="556"/>
      <c r="J45" s="557"/>
      <c r="K45" s="112"/>
      <c r="L45" s="112"/>
      <c r="M45" s="112"/>
      <c r="N45" s="112"/>
      <c r="O45" s="112"/>
      <c r="P45" s="112"/>
      <c r="Q45" s="112"/>
      <c r="R45" s="112"/>
      <c r="S45" s="112"/>
      <c r="T45" s="112"/>
    </row>
    <row r="46" spans="1:20">
      <c r="A46" s="112"/>
      <c r="B46" s="118"/>
      <c r="C46" s="112"/>
      <c r="D46" s="112"/>
      <c r="E46" s="112"/>
      <c r="F46" s="112"/>
      <c r="G46" s="112"/>
      <c r="H46" s="112"/>
      <c r="I46" s="112"/>
      <c r="J46" s="119"/>
      <c r="K46" s="112"/>
      <c r="L46" s="112"/>
      <c r="M46" s="112"/>
      <c r="N46" s="112"/>
      <c r="O46" s="112"/>
      <c r="P46" s="112"/>
      <c r="Q46" s="112"/>
      <c r="R46" s="112"/>
      <c r="S46" s="112"/>
      <c r="T46" s="112"/>
    </row>
    <row r="47" spans="1:20">
      <c r="A47" s="112"/>
      <c r="B47" s="118"/>
      <c r="C47" s="112"/>
      <c r="D47" s="112"/>
      <c r="E47" s="112"/>
      <c r="F47" s="112"/>
      <c r="G47" s="112"/>
      <c r="H47" s="112"/>
      <c r="I47" s="112"/>
      <c r="J47" s="119"/>
      <c r="K47" s="112"/>
      <c r="L47" s="112"/>
      <c r="M47" s="112"/>
      <c r="N47" s="112"/>
      <c r="O47" s="112"/>
      <c r="P47" s="112"/>
      <c r="Q47" s="112"/>
      <c r="R47" s="112"/>
      <c r="S47" s="112"/>
      <c r="T47" s="112"/>
    </row>
    <row r="48" spans="1:20">
      <c r="A48" s="112"/>
      <c r="B48" s="118"/>
      <c r="C48" s="112"/>
      <c r="D48" s="112"/>
      <c r="E48" s="112"/>
      <c r="F48" s="112"/>
      <c r="G48" s="112"/>
      <c r="H48" s="112"/>
      <c r="I48" s="112"/>
      <c r="J48" s="119"/>
      <c r="K48" s="112"/>
      <c r="L48" s="112"/>
      <c r="M48" s="112"/>
      <c r="N48" s="112"/>
      <c r="O48" s="112"/>
      <c r="P48" s="112"/>
      <c r="Q48" s="112"/>
      <c r="R48" s="112"/>
      <c r="S48" s="112"/>
      <c r="T48" s="112"/>
    </row>
    <row r="49" spans="1:20" ht="15.75" customHeight="1">
      <c r="A49" s="112"/>
      <c r="B49" s="543" t="s">
        <v>222</v>
      </c>
      <c r="C49" s="544"/>
      <c r="D49" s="544"/>
      <c r="E49" s="544"/>
      <c r="F49" s="544"/>
      <c r="G49" s="544"/>
      <c r="H49" s="544"/>
      <c r="I49" s="544"/>
      <c r="J49" s="545"/>
      <c r="K49" s="112"/>
      <c r="L49" s="112"/>
      <c r="M49" s="112"/>
      <c r="N49" s="112"/>
      <c r="O49" s="112"/>
      <c r="P49" s="112"/>
      <c r="Q49" s="112"/>
      <c r="R49" s="112"/>
      <c r="S49" s="112"/>
      <c r="T49" s="112"/>
    </row>
    <row r="50" spans="1:20">
      <c r="A50" s="112"/>
      <c r="B50" s="118"/>
      <c r="C50" s="112"/>
      <c r="D50" s="112"/>
      <c r="E50" s="112"/>
      <c r="F50" s="112"/>
      <c r="G50" s="112"/>
      <c r="H50" s="112"/>
      <c r="I50" s="112"/>
      <c r="J50" s="119"/>
      <c r="K50" s="112"/>
      <c r="L50" s="112"/>
      <c r="M50" s="112"/>
      <c r="N50" s="112"/>
      <c r="O50" s="112"/>
      <c r="P50" s="112"/>
      <c r="Q50" s="112"/>
      <c r="R50" s="112"/>
      <c r="S50" s="112"/>
      <c r="T50" s="112"/>
    </row>
    <row r="51" spans="1:20">
      <c r="A51" s="112"/>
      <c r="B51" s="118"/>
      <c r="C51" s="112"/>
      <c r="D51" s="112"/>
      <c r="E51" s="112"/>
      <c r="F51" s="112"/>
      <c r="G51" s="112"/>
      <c r="H51" s="112"/>
      <c r="I51" s="112"/>
      <c r="J51" s="119"/>
      <c r="K51" s="112"/>
      <c r="L51" s="112"/>
      <c r="M51" s="112"/>
      <c r="N51" s="112"/>
      <c r="O51" s="112"/>
      <c r="P51" s="112"/>
      <c r="Q51" s="112"/>
      <c r="R51" s="112"/>
      <c r="S51" s="112"/>
      <c r="T51" s="112"/>
    </row>
    <row r="52" spans="1:20">
      <c r="A52" s="112"/>
      <c r="B52" s="118"/>
      <c r="C52" s="112"/>
      <c r="D52" s="112"/>
      <c r="E52" s="112"/>
      <c r="F52" s="112"/>
      <c r="G52" s="112"/>
      <c r="H52" s="112"/>
      <c r="I52" s="112"/>
      <c r="J52" s="119"/>
      <c r="K52" s="112"/>
      <c r="L52" s="112"/>
      <c r="M52" s="112"/>
      <c r="N52" s="112"/>
      <c r="O52" s="112"/>
      <c r="P52" s="112"/>
      <c r="Q52" s="112"/>
      <c r="R52" s="112"/>
      <c r="S52" s="112"/>
      <c r="T52" s="112"/>
    </row>
    <row r="53" spans="1:20">
      <c r="A53" s="112"/>
      <c r="B53" s="118"/>
      <c r="C53" s="112"/>
      <c r="D53" s="112"/>
      <c r="E53" s="112"/>
      <c r="F53" s="112"/>
      <c r="G53" s="112"/>
      <c r="H53" s="112"/>
      <c r="I53" s="112"/>
      <c r="J53" s="119"/>
      <c r="K53" s="112"/>
      <c r="L53" s="112"/>
      <c r="M53" s="112"/>
      <c r="N53" s="112"/>
      <c r="O53" s="112"/>
      <c r="P53" s="112"/>
      <c r="Q53" s="112"/>
      <c r="R53" s="112"/>
      <c r="S53" s="112"/>
      <c r="T53" s="112"/>
    </row>
    <row r="54" spans="1:20">
      <c r="A54" s="112"/>
      <c r="B54" s="118"/>
      <c r="C54" s="112"/>
      <c r="D54" s="112"/>
      <c r="E54" s="112"/>
      <c r="F54" s="112"/>
      <c r="G54" s="112"/>
      <c r="H54" s="112"/>
      <c r="I54" s="112"/>
      <c r="J54" s="119"/>
      <c r="K54" s="112"/>
      <c r="L54" s="112"/>
      <c r="M54" s="112"/>
      <c r="N54" s="112"/>
      <c r="O54" s="112"/>
      <c r="P54" s="112"/>
      <c r="Q54" s="112"/>
      <c r="R54" s="112"/>
      <c r="S54" s="112"/>
      <c r="T54" s="112"/>
    </row>
    <row r="55" spans="1:20">
      <c r="A55" s="112"/>
      <c r="B55" s="118"/>
      <c r="C55" s="112"/>
      <c r="D55" s="112"/>
      <c r="E55" s="112"/>
      <c r="F55" s="112"/>
      <c r="G55" s="112"/>
      <c r="H55" s="112"/>
      <c r="I55" s="112"/>
      <c r="J55" s="119"/>
      <c r="K55" s="112"/>
      <c r="L55" s="112"/>
      <c r="M55" s="112"/>
      <c r="N55" s="112"/>
      <c r="O55" s="112"/>
      <c r="P55" s="112"/>
      <c r="Q55" s="112"/>
      <c r="R55" s="112"/>
      <c r="S55" s="112"/>
      <c r="T55" s="112"/>
    </row>
    <row r="56" spans="1:20">
      <c r="A56" s="112"/>
      <c r="B56" s="118"/>
      <c r="C56" s="112"/>
      <c r="D56" s="112"/>
      <c r="E56" s="112"/>
      <c r="F56" s="112"/>
      <c r="G56" s="112"/>
      <c r="H56" s="112"/>
      <c r="I56" s="112"/>
      <c r="J56" s="119"/>
      <c r="K56" s="112"/>
      <c r="L56" s="112"/>
      <c r="M56" s="112"/>
      <c r="N56" s="112"/>
      <c r="O56" s="112"/>
      <c r="P56" s="112"/>
      <c r="Q56" s="112"/>
      <c r="R56" s="112"/>
      <c r="S56" s="112"/>
      <c r="T56" s="112"/>
    </row>
    <row r="57" spans="1:20">
      <c r="A57" s="112"/>
      <c r="B57" s="118"/>
      <c r="C57" s="112"/>
      <c r="D57" s="112"/>
      <c r="E57" s="112"/>
      <c r="F57" s="112"/>
      <c r="G57" s="112"/>
      <c r="H57" s="112"/>
      <c r="I57" s="112"/>
      <c r="J57" s="119"/>
      <c r="K57" s="112"/>
      <c r="L57" s="112"/>
      <c r="M57" s="112"/>
      <c r="N57" s="112"/>
      <c r="O57" s="112"/>
      <c r="P57" s="112"/>
      <c r="Q57" s="112"/>
      <c r="R57" s="112"/>
      <c r="S57" s="112"/>
      <c r="T57" s="112"/>
    </row>
    <row r="58" spans="1:20" ht="16.2" thickBot="1">
      <c r="A58" s="112"/>
      <c r="B58" s="121"/>
      <c r="C58" s="122"/>
      <c r="D58" s="122"/>
      <c r="E58" s="122"/>
      <c r="F58" s="122"/>
      <c r="G58" s="122"/>
      <c r="H58" s="122"/>
      <c r="I58" s="122"/>
      <c r="J58" s="123"/>
      <c r="K58" s="112"/>
      <c r="L58" s="112"/>
      <c r="M58" s="112"/>
      <c r="N58" s="112"/>
      <c r="O58" s="112"/>
      <c r="P58" s="112"/>
      <c r="Q58" s="112"/>
      <c r="R58" s="112"/>
      <c r="S58" s="112"/>
      <c r="T58" s="112"/>
    </row>
    <row r="59" spans="1:20">
      <c r="A59" s="112"/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  <c r="R59" s="112"/>
      <c r="S59" s="112"/>
      <c r="T59" s="112"/>
    </row>
    <row r="60" spans="1:20">
      <c r="A60" s="112"/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</row>
    <row r="61" spans="1:20">
      <c r="A61" s="112"/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</row>
    <row r="62" spans="1:20">
      <c r="A62" s="112"/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  <c r="R62" s="112"/>
      <c r="S62" s="112"/>
      <c r="T62" s="112"/>
    </row>
    <row r="63" spans="1:20">
      <c r="A63" s="112"/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  <c r="T63" s="112"/>
    </row>
    <row r="64" spans="1:20">
      <c r="A64" s="112"/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112"/>
      <c r="S64" s="112"/>
      <c r="T64" s="112"/>
    </row>
    <row r="65" spans="1:20">
      <c r="A65" s="112"/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  <c r="R65" s="112"/>
      <c r="S65" s="112"/>
      <c r="T65" s="112"/>
    </row>
    <row r="66" spans="1:20">
      <c r="A66" s="112"/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  <c r="R66" s="112"/>
      <c r="S66" s="112"/>
      <c r="T66" s="112"/>
    </row>
    <row r="67" spans="1:20">
      <c r="A67" s="112"/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</row>
    <row r="68" spans="1:20">
      <c r="A68" s="112"/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  <c r="R68" s="112"/>
      <c r="S68" s="112"/>
      <c r="T68" s="112"/>
    </row>
    <row r="69" spans="1:20">
      <c r="A69" s="112"/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</row>
    <row r="70" spans="1:20">
      <c r="A70" s="112"/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2"/>
      <c r="R70" s="112"/>
      <c r="S70" s="112"/>
      <c r="T70" s="112"/>
    </row>
    <row r="71" spans="1:20">
      <c r="A71" s="112"/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2"/>
      <c r="R71" s="112"/>
      <c r="S71" s="112"/>
      <c r="T71" s="112"/>
    </row>
    <row r="72" spans="1:20">
      <c r="A72" s="112"/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  <c r="R72" s="112"/>
      <c r="S72" s="112"/>
      <c r="T72" s="112"/>
    </row>
    <row r="73" spans="1:20">
      <c r="A73" s="112"/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  <c r="R73" s="112"/>
      <c r="S73" s="112"/>
      <c r="T73" s="112"/>
    </row>
    <row r="74" spans="1:20">
      <c r="A74" s="112"/>
      <c r="B74" s="112"/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  <c r="R74" s="112"/>
      <c r="S74" s="112"/>
      <c r="T74" s="112"/>
    </row>
    <row r="75" spans="1:20">
      <c r="A75" s="112"/>
      <c r="B75" s="112"/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  <c r="R75" s="112"/>
      <c r="S75" s="112"/>
      <c r="T75" s="112"/>
    </row>
    <row r="76" spans="1:20">
      <c r="A76" s="112"/>
      <c r="B76" s="112"/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  <c r="R76" s="112"/>
      <c r="S76" s="112"/>
      <c r="T76" s="112"/>
    </row>
    <row r="77" spans="1:20">
      <c r="A77" s="112"/>
      <c r="B77" s="112"/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  <c r="R77" s="112"/>
      <c r="S77" s="112"/>
      <c r="T77" s="112"/>
    </row>
    <row r="78" spans="1:20">
      <c r="A78" s="112"/>
      <c r="B78" s="112"/>
      <c r="C78" s="112"/>
      <c r="D78" s="112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  <c r="R78" s="112"/>
      <c r="S78" s="112"/>
      <c r="T78" s="112"/>
    </row>
    <row r="79" spans="1:20">
      <c r="A79" s="112"/>
      <c r="B79" s="112"/>
      <c r="C79" s="112"/>
      <c r="D79" s="112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  <c r="R79" s="112"/>
      <c r="S79" s="112"/>
      <c r="T79" s="112"/>
    </row>
    <row r="80" spans="1:20">
      <c r="A80" s="112"/>
      <c r="B80" s="112"/>
      <c r="C80" s="112"/>
      <c r="D80" s="112"/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2"/>
      <c r="R80" s="112"/>
      <c r="S80" s="112"/>
      <c r="T80" s="112"/>
    </row>
    <row r="81" spans="1:20">
      <c r="A81" s="112"/>
      <c r="B81" s="112"/>
      <c r="C81" s="112"/>
      <c r="D81" s="112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  <c r="R81" s="112"/>
      <c r="S81" s="112"/>
      <c r="T81" s="112"/>
    </row>
    <row r="82" spans="1:20">
      <c r="A82" s="112"/>
      <c r="B82" s="112"/>
      <c r="C82" s="112"/>
      <c r="D82" s="112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  <c r="R82" s="112"/>
      <c r="S82" s="112"/>
      <c r="T82" s="112"/>
    </row>
    <row r="83" spans="1:20">
      <c r="A83" s="112"/>
      <c r="B83" s="112"/>
      <c r="C83" s="112"/>
      <c r="D83" s="112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  <c r="R83" s="112"/>
      <c r="S83" s="112"/>
      <c r="T83" s="112"/>
    </row>
    <row r="84" spans="1:20">
      <c r="A84" s="112"/>
      <c r="B84" s="112"/>
      <c r="C84" s="112"/>
      <c r="D84" s="112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  <c r="R84" s="112"/>
      <c r="S84" s="112"/>
      <c r="T84" s="112"/>
    </row>
    <row r="85" spans="1:20">
      <c r="A85" s="112"/>
      <c r="B85" s="112"/>
      <c r="C85" s="112"/>
      <c r="D85" s="112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  <c r="R85" s="112"/>
      <c r="S85" s="112"/>
      <c r="T85" s="112"/>
    </row>
    <row r="86" spans="1:20">
      <c r="A86" s="112"/>
      <c r="B86" s="112"/>
      <c r="C86" s="112"/>
      <c r="D86" s="112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  <c r="R86" s="112"/>
      <c r="S86" s="112"/>
      <c r="T86" s="112"/>
    </row>
    <row r="87" spans="1:20">
      <c r="A87" s="112"/>
      <c r="B87" s="112"/>
      <c r="C87" s="112"/>
      <c r="D87" s="112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  <c r="R87" s="112"/>
      <c r="S87" s="112"/>
      <c r="T87" s="112"/>
    </row>
    <row r="88" spans="1:20">
      <c r="A88" s="112"/>
      <c r="B88" s="112"/>
      <c r="C88" s="112"/>
      <c r="D88" s="112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  <c r="R88" s="112"/>
      <c r="S88" s="112"/>
      <c r="T88" s="112"/>
    </row>
    <row r="89" spans="1:20">
      <c r="A89" s="112"/>
      <c r="B89" s="112"/>
      <c r="C89" s="112"/>
      <c r="D89" s="112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  <c r="R89" s="112"/>
      <c r="S89" s="112"/>
      <c r="T89" s="112"/>
    </row>
    <row r="90" spans="1:20">
      <c r="A90" s="112"/>
      <c r="B90" s="112"/>
      <c r="C90" s="112"/>
      <c r="D90" s="112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  <c r="R90" s="112"/>
      <c r="S90" s="112"/>
      <c r="T90" s="112"/>
    </row>
    <row r="91" spans="1:20">
      <c r="A91" s="112"/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  <c r="R91" s="112"/>
      <c r="S91" s="112"/>
      <c r="T91" s="112"/>
    </row>
    <row r="92" spans="1:20">
      <c r="A92" s="112"/>
      <c r="B92" s="112"/>
      <c r="C92" s="112"/>
      <c r="D92" s="112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  <c r="R92" s="112"/>
      <c r="S92" s="112"/>
      <c r="T92" s="112"/>
    </row>
    <row r="93" spans="1:20">
      <c r="A93" s="112"/>
      <c r="B93" s="112"/>
      <c r="C93" s="112"/>
      <c r="D93" s="112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2"/>
      <c r="R93" s="112"/>
      <c r="S93" s="112"/>
      <c r="T93" s="112"/>
    </row>
    <row r="94" spans="1:20">
      <c r="A94" s="112"/>
      <c r="B94" s="112"/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  <c r="R94" s="112"/>
      <c r="S94" s="112"/>
      <c r="T94" s="112"/>
    </row>
    <row r="95" spans="1:20">
      <c r="A95" s="112"/>
      <c r="B95" s="112"/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</row>
    <row r="96" spans="1:20">
      <c r="A96" s="112"/>
      <c r="B96" s="112"/>
      <c r="C96" s="112"/>
      <c r="D96" s="112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  <c r="R96" s="112"/>
      <c r="S96" s="112"/>
      <c r="T96" s="112"/>
    </row>
    <row r="97" spans="1:20">
      <c r="A97" s="112"/>
      <c r="B97" s="112"/>
      <c r="C97" s="112"/>
      <c r="D97" s="112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  <c r="R97" s="112"/>
      <c r="S97" s="112"/>
      <c r="T97" s="112"/>
    </row>
    <row r="98" spans="1:20">
      <c r="A98" s="112"/>
      <c r="B98" s="112"/>
      <c r="C98" s="112"/>
      <c r="D98" s="112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  <c r="R98" s="112"/>
      <c r="S98" s="112"/>
      <c r="T98" s="112"/>
    </row>
    <row r="99" spans="1:20">
      <c r="A99" s="112"/>
      <c r="B99" s="112"/>
      <c r="C99" s="112"/>
      <c r="D99" s="112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  <c r="R99" s="112"/>
      <c r="S99" s="112"/>
      <c r="T99" s="112"/>
    </row>
    <row r="100" spans="1:20">
      <c r="A100" s="112"/>
      <c r="B100" s="112"/>
      <c r="C100" s="112"/>
      <c r="D100" s="112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  <c r="R100" s="112"/>
      <c r="S100" s="112"/>
      <c r="T100" s="112"/>
    </row>
    <row r="101" spans="1:20">
      <c r="A101" s="112"/>
      <c r="B101" s="112"/>
      <c r="C101" s="112"/>
      <c r="D101" s="112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  <c r="T101" s="112"/>
    </row>
    <row r="102" spans="1:20">
      <c r="A102" s="112"/>
      <c r="B102" s="112"/>
      <c r="C102" s="112"/>
      <c r="D102" s="112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  <c r="R102" s="112"/>
      <c r="S102" s="112"/>
      <c r="T102" s="112"/>
    </row>
    <row r="103" spans="1:20">
      <c r="A103" s="112"/>
      <c r="B103" s="112"/>
      <c r="C103" s="112"/>
      <c r="D103" s="112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  <c r="R103" s="112"/>
      <c r="S103" s="112"/>
      <c r="T103" s="112"/>
    </row>
    <row r="104" spans="1:20">
      <c r="A104" s="112"/>
      <c r="B104" s="112"/>
      <c r="C104" s="112"/>
      <c r="D104" s="112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  <c r="R104" s="112"/>
      <c r="S104" s="112"/>
      <c r="T104" s="112"/>
    </row>
    <row r="105" spans="1:20">
      <c r="A105" s="112"/>
      <c r="B105" s="112"/>
      <c r="C105" s="112"/>
      <c r="D105" s="112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</row>
    <row r="106" spans="1:20">
      <c r="A106" s="112"/>
      <c r="B106" s="112"/>
      <c r="C106" s="112"/>
      <c r="D106" s="112"/>
      <c r="E106" s="112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  <c r="R106" s="112"/>
      <c r="S106" s="112"/>
      <c r="T106" s="112"/>
    </row>
    <row r="107" spans="1:20">
      <c r="A107" s="112"/>
      <c r="B107" s="112"/>
      <c r="C107" s="112"/>
      <c r="D107" s="112"/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  <c r="R107" s="112"/>
      <c r="S107" s="112"/>
      <c r="T107" s="112"/>
    </row>
    <row r="108" spans="1:20">
      <c r="A108" s="112"/>
      <c r="B108" s="112"/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  <c r="R108" s="112"/>
      <c r="S108" s="112"/>
      <c r="T108" s="112"/>
    </row>
    <row r="109" spans="1:20">
      <c r="A109" s="112"/>
      <c r="B109" s="112"/>
      <c r="C109" s="112"/>
      <c r="D109" s="112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  <c r="T109" s="112"/>
    </row>
    <row r="110" spans="1:20">
      <c r="A110" s="112"/>
      <c r="B110" s="112"/>
      <c r="C110" s="112"/>
      <c r="D110" s="112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  <c r="R110" s="112"/>
      <c r="S110" s="112"/>
      <c r="T110" s="112"/>
    </row>
    <row r="111" spans="1:20">
      <c r="A111" s="112"/>
      <c r="B111" s="112"/>
      <c r="C111" s="112"/>
      <c r="D111" s="112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  <c r="R111" s="112"/>
      <c r="S111" s="112"/>
      <c r="T111" s="112"/>
    </row>
    <row r="112" spans="1:20">
      <c r="A112" s="112"/>
      <c r="B112" s="112"/>
      <c r="C112" s="112"/>
      <c r="D112" s="112"/>
      <c r="E112" s="112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  <c r="R112" s="112"/>
      <c r="S112" s="112"/>
      <c r="T112" s="112"/>
    </row>
    <row r="113" spans="1:20">
      <c r="A113" s="112"/>
      <c r="B113" s="112"/>
      <c r="C113" s="112"/>
      <c r="D113" s="112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  <c r="R113" s="112"/>
      <c r="S113" s="112"/>
      <c r="T113" s="112"/>
    </row>
    <row r="114" spans="1:20">
      <c r="A114" s="112"/>
      <c r="B114" s="112"/>
      <c r="C114" s="112"/>
      <c r="D114" s="112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  <c r="R114" s="112"/>
      <c r="S114" s="112"/>
      <c r="T114" s="112"/>
    </row>
    <row r="115" spans="1:20">
      <c r="A115" s="112"/>
      <c r="B115" s="112"/>
      <c r="C115" s="112"/>
      <c r="D115" s="112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  <c r="R115" s="112"/>
      <c r="S115" s="112"/>
      <c r="T115" s="112"/>
    </row>
    <row r="116" spans="1:20">
      <c r="A116" s="112"/>
      <c r="B116" s="112"/>
      <c r="C116" s="112"/>
      <c r="D116" s="112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  <c r="R116" s="112"/>
      <c r="S116" s="112"/>
      <c r="T116" s="112"/>
    </row>
    <row r="117" spans="1:20">
      <c r="A117" s="112"/>
      <c r="B117" s="112"/>
      <c r="C117" s="112"/>
      <c r="D117" s="112"/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  <c r="R117" s="112"/>
      <c r="S117" s="112"/>
      <c r="T117" s="112"/>
    </row>
    <row r="118" spans="1:20">
      <c r="A118" s="112"/>
      <c r="B118" s="112"/>
      <c r="C118" s="112"/>
      <c r="D118" s="112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  <c r="R118" s="112"/>
      <c r="S118" s="112"/>
      <c r="T118" s="112"/>
    </row>
    <row r="119" spans="1:20">
      <c r="A119" s="112"/>
      <c r="B119" s="112"/>
      <c r="C119" s="112"/>
      <c r="D119" s="112"/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  <c r="R119" s="112"/>
      <c r="S119" s="112"/>
      <c r="T119" s="112"/>
    </row>
    <row r="120" spans="1:20">
      <c r="A120" s="112"/>
      <c r="B120" s="112"/>
      <c r="C120" s="112"/>
      <c r="D120" s="112"/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2"/>
      <c r="R120" s="112"/>
      <c r="S120" s="112"/>
      <c r="T120" s="112"/>
    </row>
    <row r="121" spans="1:20">
      <c r="A121" s="112"/>
      <c r="B121" s="112"/>
      <c r="C121" s="112"/>
      <c r="D121" s="112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  <c r="R121" s="112"/>
      <c r="S121" s="112"/>
      <c r="T121" s="112"/>
    </row>
    <row r="122" spans="1:20">
      <c r="A122" s="112"/>
      <c r="B122" s="112"/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2"/>
      <c r="R122" s="112"/>
      <c r="S122" s="112"/>
      <c r="T122" s="112"/>
    </row>
    <row r="123" spans="1:20">
      <c r="A123" s="112"/>
      <c r="B123" s="112"/>
      <c r="C123" s="112"/>
      <c r="D123" s="112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  <c r="R123" s="112"/>
      <c r="S123" s="112"/>
      <c r="T123" s="112"/>
    </row>
    <row r="124" spans="1:20">
      <c r="A124" s="112"/>
      <c r="B124" s="112"/>
      <c r="C124" s="112"/>
      <c r="D124" s="112"/>
      <c r="E124" s="112"/>
      <c r="F124" s="112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  <c r="Q124" s="112"/>
      <c r="R124" s="112"/>
      <c r="S124" s="112"/>
      <c r="T124" s="112"/>
    </row>
    <row r="125" spans="1:20">
      <c r="A125" s="112"/>
      <c r="B125" s="112"/>
      <c r="C125" s="112"/>
      <c r="D125" s="112"/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  <c r="R125" s="112"/>
      <c r="S125" s="112"/>
      <c r="T125" s="112"/>
    </row>
    <row r="126" spans="1:20">
      <c r="A126" s="112"/>
      <c r="B126" s="112"/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</row>
    <row r="127" spans="1:20">
      <c r="A127" s="112"/>
      <c r="B127" s="112"/>
      <c r="C127" s="112"/>
      <c r="D127" s="112"/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  <c r="R127" s="112"/>
      <c r="S127" s="112"/>
      <c r="T127" s="112"/>
    </row>
    <row r="128" spans="1:20">
      <c r="A128" s="112"/>
      <c r="B128" s="112"/>
      <c r="C128" s="112"/>
      <c r="D128" s="112"/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  <c r="R128" s="112"/>
      <c r="S128" s="112"/>
      <c r="T128" s="112"/>
    </row>
    <row r="129" spans="1:20">
      <c r="A129" s="112"/>
      <c r="B129" s="112"/>
      <c r="C129" s="112"/>
      <c r="D129" s="112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  <c r="R129" s="112"/>
      <c r="S129" s="112"/>
      <c r="T129" s="112"/>
    </row>
    <row r="130" spans="1:20">
      <c r="A130" s="112"/>
      <c r="B130" s="112"/>
      <c r="C130" s="112"/>
      <c r="D130" s="112"/>
      <c r="E130" s="112"/>
      <c r="F130" s="112"/>
      <c r="G130" s="112"/>
      <c r="H130" s="112"/>
      <c r="I130" s="112"/>
      <c r="J130" s="112"/>
      <c r="K130" s="112"/>
      <c r="L130" s="112"/>
      <c r="M130" s="112"/>
      <c r="N130" s="112"/>
      <c r="O130" s="112"/>
      <c r="P130" s="112"/>
      <c r="Q130" s="112"/>
      <c r="R130" s="112"/>
      <c r="S130" s="112"/>
      <c r="T130" s="112"/>
    </row>
    <row r="131" spans="1:20">
      <c r="A131" s="112"/>
      <c r="B131" s="112"/>
      <c r="C131" s="112"/>
      <c r="D131" s="112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  <c r="R131" s="112"/>
      <c r="S131" s="112"/>
      <c r="T131" s="112"/>
    </row>
    <row r="132" spans="1:20">
      <c r="A132" s="112"/>
      <c r="B132" s="112"/>
      <c r="C132" s="112"/>
      <c r="D132" s="112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  <c r="R132" s="112"/>
      <c r="S132" s="112"/>
      <c r="T132" s="112"/>
    </row>
    <row r="133" spans="1:20">
      <c r="A133" s="112"/>
      <c r="B133" s="112"/>
      <c r="C133" s="112"/>
      <c r="D133" s="112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2"/>
      <c r="R133" s="112"/>
      <c r="S133" s="112"/>
      <c r="T133" s="112"/>
    </row>
    <row r="134" spans="1:20">
      <c r="A134" s="112"/>
      <c r="B134" s="112"/>
      <c r="C134" s="112"/>
      <c r="D134" s="112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  <c r="R134" s="112"/>
      <c r="S134" s="112"/>
      <c r="T134" s="112"/>
    </row>
    <row r="135" spans="1:20">
      <c r="A135" s="112"/>
      <c r="B135" s="112"/>
      <c r="C135" s="112"/>
      <c r="D135" s="112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2"/>
      <c r="R135" s="112"/>
      <c r="S135" s="112"/>
      <c r="T135" s="112"/>
    </row>
    <row r="136" spans="1:20">
      <c r="A136" s="112"/>
      <c r="B136" s="112"/>
      <c r="C136" s="112"/>
      <c r="D136" s="112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2"/>
      <c r="R136" s="112"/>
      <c r="S136" s="112"/>
      <c r="T136" s="112"/>
    </row>
    <row r="137" spans="1:20">
      <c r="A137" s="112"/>
      <c r="B137" s="112"/>
      <c r="C137" s="112"/>
      <c r="D137" s="112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  <c r="R137" s="112"/>
      <c r="S137" s="112"/>
      <c r="T137" s="112"/>
    </row>
    <row r="138" spans="1:20">
      <c r="A138" s="112"/>
      <c r="B138" s="112"/>
      <c r="C138" s="112"/>
      <c r="D138" s="112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  <c r="R138" s="112"/>
      <c r="S138" s="112"/>
      <c r="T138" s="112"/>
    </row>
    <row r="139" spans="1:20">
      <c r="A139" s="112"/>
      <c r="B139" s="112"/>
      <c r="C139" s="112"/>
      <c r="D139" s="112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2"/>
      <c r="R139" s="112"/>
      <c r="S139" s="112"/>
      <c r="T139" s="112"/>
    </row>
    <row r="140" spans="1:20">
      <c r="A140" s="112"/>
      <c r="B140" s="112"/>
      <c r="C140" s="112"/>
      <c r="D140" s="112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2"/>
      <c r="R140" s="112"/>
      <c r="S140" s="112"/>
      <c r="T140" s="112"/>
    </row>
    <row r="141" spans="1:20">
      <c r="A141" s="112"/>
      <c r="B141" s="112"/>
      <c r="C141" s="112"/>
      <c r="D141" s="112"/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2"/>
      <c r="R141" s="112"/>
      <c r="S141" s="112"/>
      <c r="T141" s="112"/>
    </row>
    <row r="142" spans="1:20">
      <c r="A142" s="112"/>
      <c r="B142" s="112"/>
      <c r="C142" s="112"/>
      <c r="D142" s="112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2"/>
      <c r="R142" s="112"/>
      <c r="S142" s="112"/>
      <c r="T142" s="112"/>
    </row>
    <row r="143" spans="1:20">
      <c r="A143" s="112"/>
      <c r="B143" s="112"/>
      <c r="C143" s="112"/>
      <c r="D143" s="112"/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2"/>
      <c r="R143" s="112"/>
      <c r="S143" s="112"/>
      <c r="T143" s="112"/>
    </row>
    <row r="144" spans="1:20">
      <c r="A144" s="112"/>
      <c r="B144" s="112"/>
      <c r="C144" s="112"/>
      <c r="D144" s="112"/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2"/>
      <c r="R144" s="112"/>
      <c r="S144" s="112"/>
      <c r="T144" s="112"/>
    </row>
    <row r="145" spans="1:20">
      <c r="A145" s="112"/>
      <c r="B145" s="112"/>
      <c r="C145" s="112"/>
      <c r="D145" s="112"/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2"/>
      <c r="R145" s="112"/>
      <c r="S145" s="112"/>
      <c r="T145" s="112"/>
    </row>
    <row r="146" spans="1:20">
      <c r="A146" s="112"/>
      <c r="B146" s="112"/>
      <c r="C146" s="112"/>
      <c r="D146" s="112"/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2"/>
      <c r="R146" s="112"/>
      <c r="S146" s="112"/>
      <c r="T146" s="112"/>
    </row>
    <row r="147" spans="1:20">
      <c r="A147" s="112"/>
      <c r="B147" s="112"/>
      <c r="C147" s="112"/>
      <c r="D147" s="112"/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112"/>
      <c r="Q147" s="112"/>
      <c r="R147" s="112"/>
      <c r="S147" s="112"/>
      <c r="T147" s="112"/>
    </row>
    <row r="148" spans="1:20">
      <c r="A148" s="112"/>
      <c r="B148" s="112"/>
      <c r="C148" s="112"/>
      <c r="D148" s="112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2"/>
      <c r="R148" s="112"/>
      <c r="S148" s="112"/>
      <c r="T148" s="112"/>
    </row>
    <row r="149" spans="1:20">
      <c r="A149" s="112"/>
      <c r="B149" s="112"/>
      <c r="C149" s="112"/>
      <c r="D149" s="112"/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2"/>
      <c r="R149" s="112"/>
      <c r="S149" s="112"/>
      <c r="T149" s="112"/>
    </row>
    <row r="150" spans="1:20">
      <c r="A150" s="112"/>
      <c r="B150" s="112"/>
      <c r="C150" s="112"/>
      <c r="D150" s="112"/>
      <c r="E150" s="112"/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112"/>
      <c r="Q150" s="112"/>
      <c r="R150" s="112"/>
      <c r="S150" s="112"/>
      <c r="T150" s="112"/>
    </row>
    <row r="151" spans="1:20">
      <c r="A151" s="112"/>
      <c r="B151" s="112"/>
      <c r="C151" s="112"/>
      <c r="D151" s="112"/>
      <c r="E151" s="112"/>
      <c r="F151" s="112"/>
      <c r="G151" s="112"/>
      <c r="H151" s="112"/>
      <c r="I151" s="112"/>
      <c r="J151" s="112"/>
      <c r="K151" s="112"/>
      <c r="L151" s="112"/>
      <c r="M151" s="112"/>
      <c r="N151" s="112"/>
      <c r="O151" s="112"/>
      <c r="P151" s="112"/>
      <c r="Q151" s="112"/>
      <c r="R151" s="112"/>
      <c r="S151" s="112"/>
      <c r="T151" s="112"/>
    </row>
    <row r="152" spans="1:20">
      <c r="A152" s="112"/>
      <c r="B152" s="112"/>
      <c r="C152" s="112"/>
      <c r="D152" s="112"/>
      <c r="E152" s="112"/>
      <c r="F152" s="112"/>
      <c r="G152" s="112"/>
      <c r="H152" s="112"/>
      <c r="I152" s="112"/>
      <c r="J152" s="112"/>
      <c r="K152" s="112"/>
      <c r="L152" s="112"/>
      <c r="M152" s="112"/>
      <c r="N152" s="112"/>
      <c r="O152" s="112"/>
      <c r="P152" s="112"/>
      <c r="Q152" s="112"/>
      <c r="R152" s="112"/>
      <c r="S152" s="112"/>
      <c r="T152" s="112"/>
    </row>
    <row r="153" spans="1:20">
      <c r="A153" s="112"/>
      <c r="B153" s="112"/>
      <c r="C153" s="112"/>
      <c r="D153" s="112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2"/>
      <c r="R153" s="112"/>
      <c r="S153" s="112"/>
      <c r="T153" s="112"/>
    </row>
    <row r="154" spans="1:20">
      <c r="A154" s="112"/>
      <c r="B154" s="112"/>
      <c r="C154" s="112"/>
      <c r="D154" s="112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  <c r="R154" s="112"/>
      <c r="S154" s="112"/>
      <c r="T154" s="112"/>
    </row>
    <row r="155" spans="1:20">
      <c r="B155" s="112"/>
      <c r="C155" s="112"/>
      <c r="D155" s="112"/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2"/>
      <c r="R155" s="112"/>
      <c r="S155" s="112"/>
      <c r="T155" s="112"/>
    </row>
  </sheetData>
  <mergeCells count="45">
    <mergeCell ref="B5:J5"/>
    <mergeCell ref="C19:C20"/>
    <mergeCell ref="B2:J2"/>
    <mergeCell ref="C9:G9"/>
    <mergeCell ref="C11:G11"/>
    <mergeCell ref="C18:F18"/>
    <mergeCell ref="F12:G12"/>
    <mergeCell ref="C13:D13"/>
    <mergeCell ref="C14:D14"/>
    <mergeCell ref="C8:G8"/>
    <mergeCell ref="B16:J17"/>
    <mergeCell ref="C10:G10"/>
    <mergeCell ref="B14:B15"/>
    <mergeCell ref="B18:B28"/>
    <mergeCell ref="C21:C22"/>
    <mergeCell ref="C23:C24"/>
    <mergeCell ref="B49:J49"/>
    <mergeCell ref="C28:I28"/>
    <mergeCell ref="B29:G29"/>
    <mergeCell ref="B30:G30"/>
    <mergeCell ref="I29:J29"/>
    <mergeCell ref="I30:J30"/>
    <mergeCell ref="B34:J34"/>
    <mergeCell ref="B36:J36"/>
    <mergeCell ref="B38:I38"/>
    <mergeCell ref="C39:G39"/>
    <mergeCell ref="B31:G31"/>
    <mergeCell ref="I31:J31"/>
    <mergeCell ref="C41:G41"/>
    <mergeCell ref="H44:J44"/>
    <mergeCell ref="H45:J45"/>
    <mergeCell ref="C27:I27"/>
    <mergeCell ref="C42:G42"/>
    <mergeCell ref="C43:G43"/>
    <mergeCell ref="C40:G40"/>
    <mergeCell ref="I12:J12"/>
    <mergeCell ref="I13:J13"/>
    <mergeCell ref="C25:H25"/>
    <mergeCell ref="C26:H26"/>
    <mergeCell ref="E19:E20"/>
    <mergeCell ref="E21:E22"/>
    <mergeCell ref="E23:E24"/>
    <mergeCell ref="I19:I24"/>
    <mergeCell ref="J19:J24"/>
    <mergeCell ref="C12:D12"/>
  </mergeCells>
  <pageMargins left="0.25" right="0.25" top="0.75" bottom="0.75" header="0.3" footer="0.3"/>
  <pageSetup paperSize="9" scale="5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D523A9-B3DE-4D76-8693-EAF8E55F2AB9}">
  <sheetPr>
    <pageSetUpPr fitToPage="1"/>
  </sheetPr>
  <dimension ref="A1:O27"/>
  <sheetViews>
    <sheetView showGridLines="0" tabSelected="1" view="pageBreakPreview" zoomScale="90" zoomScaleNormal="85" zoomScaleSheetLayoutView="90" workbookViewId="0">
      <selection activeCell="B1" sqref="B1:J1"/>
    </sheetView>
  </sheetViews>
  <sheetFormatPr defaultRowHeight="14.4"/>
  <cols>
    <col min="1" max="1" width="0.77734375" customWidth="1"/>
    <col min="2" max="2" width="52.21875" bestFit="1" customWidth="1"/>
    <col min="3" max="3" width="35.33203125" customWidth="1"/>
    <col min="4" max="4" width="12.44140625" customWidth="1"/>
    <col min="5" max="5" width="13.6640625" customWidth="1"/>
    <col min="6" max="6" width="19.109375" customWidth="1"/>
    <col min="7" max="7" width="14.109375" customWidth="1"/>
    <col min="8" max="8" width="12.33203125" customWidth="1"/>
    <col min="9" max="9" width="30.21875" customWidth="1"/>
    <col min="10" max="10" width="25" customWidth="1"/>
    <col min="11" max="11" width="1.44140625" customWidth="1"/>
    <col min="14" max="15" width="10.5546875" bestFit="1" customWidth="1"/>
  </cols>
  <sheetData>
    <row r="1" spans="1:15" ht="78" customHeight="1">
      <c r="A1" s="113"/>
      <c r="B1" s="603" t="s">
        <v>206</v>
      </c>
      <c r="C1" s="603"/>
      <c r="D1" s="603"/>
      <c r="E1" s="603"/>
      <c r="F1" s="603"/>
      <c r="G1" s="603"/>
      <c r="H1" s="603"/>
      <c r="I1" s="603"/>
      <c r="J1" s="603"/>
    </row>
    <row r="2" spans="1:15" ht="22.05" customHeight="1">
      <c r="A2" s="113"/>
      <c r="B2" s="604" t="s">
        <v>434</v>
      </c>
      <c r="C2" s="604"/>
      <c r="D2" s="604"/>
      <c r="E2" s="604"/>
      <c r="F2" s="604"/>
      <c r="G2" s="604"/>
      <c r="H2" s="604"/>
      <c r="I2" s="604"/>
      <c r="J2" s="604"/>
    </row>
    <row r="3" spans="1:15" ht="33" customHeight="1">
      <c r="A3" s="113"/>
      <c r="B3" s="605" t="s">
        <v>412</v>
      </c>
      <c r="C3" s="606"/>
      <c r="D3" s="606"/>
      <c r="E3" s="606"/>
      <c r="F3" s="606"/>
      <c r="G3" s="606"/>
      <c r="H3" s="606"/>
      <c r="I3" s="606"/>
      <c r="J3" s="606"/>
    </row>
    <row r="4" spans="1:15" ht="16.5" customHeight="1">
      <c r="A4" s="113"/>
      <c r="B4" s="128" t="str">
        <f>'1-RESUMO PROPOSTA'!$B$4</f>
        <v xml:space="preserve">Número do  Processo: CRQ-IV 18/26     </v>
      </c>
      <c r="C4" s="128"/>
      <c r="D4" s="128"/>
      <c r="E4" s="128"/>
      <c r="F4" s="128"/>
      <c r="G4" s="128"/>
      <c r="H4" s="128"/>
      <c r="I4" s="128"/>
      <c r="J4" s="128"/>
    </row>
    <row r="5" spans="1:15" ht="16.5" customHeight="1">
      <c r="A5" s="113"/>
      <c r="B5" s="129" t="str">
        <f>'1-RESUMO PROPOSTA'!$B$5</f>
        <v xml:space="preserve">Número da Licitação: Pregão Eletrônico nº 90006/2026      </v>
      </c>
      <c r="C5" s="129"/>
      <c r="D5" s="129"/>
      <c r="E5" s="129"/>
      <c r="F5" s="129"/>
      <c r="G5" s="129"/>
      <c r="H5" s="129"/>
      <c r="I5" s="129"/>
      <c r="J5" s="129"/>
    </row>
    <row r="6" spans="1:15" ht="16.5" customHeight="1">
      <c r="A6" s="113"/>
      <c r="B6" s="128" t="str">
        <f>CONCATENATE("Razão Social:  ",'1-RESUMO PROPOSTA'!C$8)</f>
        <v xml:space="preserve">Razão Social:  </v>
      </c>
      <c r="C6" s="128"/>
      <c r="D6" s="128"/>
      <c r="E6" s="128"/>
      <c r="F6" s="128"/>
      <c r="G6" s="128"/>
      <c r="H6" s="128"/>
      <c r="I6" s="128"/>
      <c r="J6" s="128"/>
    </row>
    <row r="7" spans="1:15" ht="16.5" customHeight="1">
      <c r="A7" s="113"/>
      <c r="B7" s="129" t="str">
        <f>CONCATENATE("CNPJ:  ",'1-RESUMO PROPOSTA'!C9)</f>
        <v xml:space="preserve">CNPJ:  </v>
      </c>
      <c r="C7" s="129"/>
      <c r="D7" s="129"/>
      <c r="E7" s="129"/>
      <c r="F7" s="129"/>
      <c r="G7" s="129"/>
      <c r="H7" s="129"/>
      <c r="I7" s="129"/>
      <c r="J7" s="129"/>
    </row>
    <row r="8" spans="1:15" ht="10.050000000000001" customHeight="1">
      <c r="A8" s="113"/>
      <c r="B8" s="124"/>
      <c r="C8" s="124"/>
      <c r="D8" s="335"/>
      <c r="E8" s="335"/>
      <c r="F8" s="335"/>
      <c r="G8" s="335"/>
      <c r="H8" s="335"/>
      <c r="I8" s="335"/>
      <c r="J8" s="335"/>
    </row>
    <row r="9" spans="1:15" ht="69" customHeight="1">
      <c r="A9" s="113"/>
      <c r="B9" s="613" t="s">
        <v>350</v>
      </c>
      <c r="C9" s="613"/>
      <c r="D9" s="614"/>
      <c r="E9" s="614"/>
      <c r="F9" s="614"/>
      <c r="G9" s="614"/>
      <c r="H9" s="614"/>
      <c r="I9" s="614"/>
      <c r="J9" s="614"/>
    </row>
    <row r="10" spans="1:15" ht="18">
      <c r="A10" s="113"/>
      <c r="B10" s="297"/>
      <c r="C10" s="298"/>
      <c r="D10" s="301" t="s">
        <v>6</v>
      </c>
      <c r="E10" s="301" t="s">
        <v>8</v>
      </c>
      <c r="F10" s="301" t="s">
        <v>10</v>
      </c>
      <c r="G10" s="301" t="s">
        <v>12</v>
      </c>
      <c r="H10" s="301" t="s">
        <v>14</v>
      </c>
      <c r="I10" s="301" t="s">
        <v>17</v>
      </c>
      <c r="J10" s="301" t="s">
        <v>19</v>
      </c>
    </row>
    <row r="11" spans="1:15" ht="15.6" customHeight="1">
      <c r="A11" s="113"/>
      <c r="B11" s="615" t="s">
        <v>144</v>
      </c>
      <c r="C11" s="615" t="s">
        <v>145</v>
      </c>
      <c r="D11" s="615" t="s">
        <v>172</v>
      </c>
      <c r="E11" s="615" t="s">
        <v>435</v>
      </c>
      <c r="F11" s="618" t="s">
        <v>431</v>
      </c>
      <c r="G11" s="615" t="s">
        <v>193</v>
      </c>
      <c r="H11" s="615" t="s">
        <v>146</v>
      </c>
      <c r="I11" s="615" t="s">
        <v>147</v>
      </c>
      <c r="J11" s="619" t="s">
        <v>148</v>
      </c>
    </row>
    <row r="12" spans="1:15" ht="15.6">
      <c r="A12" s="113"/>
      <c r="B12" s="616"/>
      <c r="C12" s="616"/>
      <c r="D12" s="616"/>
      <c r="E12" s="616"/>
      <c r="F12" s="618"/>
      <c r="G12" s="616"/>
      <c r="H12" s="616"/>
      <c r="I12" s="616"/>
      <c r="J12" s="620"/>
    </row>
    <row r="13" spans="1:15" ht="15.6">
      <c r="A13" s="113"/>
      <c r="B13" s="617"/>
      <c r="C13" s="617"/>
      <c r="D13" s="299" t="s">
        <v>149</v>
      </c>
      <c r="E13" s="617"/>
      <c r="F13" s="618"/>
      <c r="G13" s="299" t="s">
        <v>150</v>
      </c>
      <c r="H13" s="617"/>
      <c r="I13" s="617"/>
      <c r="J13" s="621"/>
    </row>
    <row r="14" spans="1:15" ht="16.2" thickBot="1">
      <c r="A14" s="113"/>
      <c r="B14" s="300"/>
      <c r="C14" s="416"/>
      <c r="D14" s="417"/>
      <c r="E14" s="417"/>
      <c r="F14" s="417"/>
      <c r="G14" s="417"/>
      <c r="H14" s="416"/>
      <c r="I14" s="300"/>
      <c r="J14" s="300"/>
    </row>
    <row r="15" spans="1:15" ht="19.95" customHeight="1" thickBot="1">
      <c r="A15" s="113"/>
      <c r="B15" s="591" t="s">
        <v>190</v>
      </c>
      <c r="C15" s="418" t="s">
        <v>348</v>
      </c>
      <c r="D15" s="593">
        <v>4043</v>
      </c>
      <c r="E15" s="449">
        <f>D15*2/3</f>
        <v>2695.3333333333335</v>
      </c>
      <c r="F15" s="419">
        <f>E15/G15</f>
        <v>3.3691666666666666</v>
      </c>
      <c r="G15" s="595">
        <v>800</v>
      </c>
      <c r="H15" s="597" t="s">
        <v>151</v>
      </c>
      <c r="I15" s="415" t="str">
        <f>+C15</f>
        <v>Servente / Auxiliar de Limpeza</v>
      </c>
      <c r="J15" s="607">
        <f>+I16+I19</f>
        <v>5.9231388888888894</v>
      </c>
    </row>
    <row r="16" spans="1:15" ht="19.95" customHeight="1" thickBot="1">
      <c r="A16" s="113"/>
      <c r="B16" s="592"/>
      <c r="C16" s="420" t="s">
        <v>349</v>
      </c>
      <c r="D16" s="594"/>
      <c r="E16" s="449">
        <f>D15*1/3</f>
        <v>1347.6666666666667</v>
      </c>
      <c r="F16" s="421">
        <f>E16/G15</f>
        <v>1.6845833333333333</v>
      </c>
      <c r="G16" s="596"/>
      <c r="H16" s="598"/>
      <c r="I16" s="601">
        <f>+F15+F17+F19</f>
        <v>3.9487592592592593</v>
      </c>
      <c r="J16" s="608"/>
      <c r="N16" s="350"/>
      <c r="O16" s="350"/>
    </row>
    <row r="17" spans="1:15" ht="19.95" customHeight="1">
      <c r="A17" s="113"/>
      <c r="B17" s="599" t="s">
        <v>191</v>
      </c>
      <c r="C17" s="418" t="s">
        <v>348</v>
      </c>
      <c r="D17" s="593">
        <v>736</v>
      </c>
      <c r="E17" s="449">
        <f>D17*2/3</f>
        <v>490.66666666666669</v>
      </c>
      <c r="F17" s="419">
        <f>E17/G17</f>
        <v>0.27259259259259261</v>
      </c>
      <c r="G17" s="595">
        <v>1800</v>
      </c>
      <c r="H17" s="597" t="s">
        <v>151</v>
      </c>
      <c r="I17" s="602"/>
      <c r="J17" s="608"/>
      <c r="L17" s="349"/>
      <c r="N17" s="350"/>
      <c r="O17" s="350"/>
    </row>
    <row r="18" spans="1:15" ht="19.95" customHeight="1" thickBot="1">
      <c r="A18" s="113"/>
      <c r="B18" s="600"/>
      <c r="C18" s="420" t="s">
        <v>349</v>
      </c>
      <c r="D18" s="594"/>
      <c r="E18" s="450">
        <f>D17*1/3</f>
        <v>245.33333333333334</v>
      </c>
      <c r="F18" s="421">
        <f>E18/G17</f>
        <v>0.1362962962962963</v>
      </c>
      <c r="G18" s="596"/>
      <c r="H18" s="598"/>
      <c r="I18" s="415" t="str">
        <f>+C16</f>
        <v>Agente de Higienização</v>
      </c>
      <c r="J18" s="608"/>
      <c r="L18" s="349"/>
      <c r="N18" s="350"/>
      <c r="O18" s="350"/>
    </row>
    <row r="19" spans="1:15" ht="19.95" customHeight="1">
      <c r="A19" s="113"/>
      <c r="B19" s="599" t="s">
        <v>192</v>
      </c>
      <c r="C19" s="418" t="s">
        <v>348</v>
      </c>
      <c r="D19" s="593">
        <v>2763</v>
      </c>
      <c r="E19" s="449">
        <f>D19*2/3</f>
        <v>1842</v>
      </c>
      <c r="F19" s="419">
        <f>E19/G19</f>
        <v>0.307</v>
      </c>
      <c r="G19" s="595">
        <v>6000</v>
      </c>
      <c r="H19" s="597" t="s">
        <v>151</v>
      </c>
      <c r="I19" s="601">
        <f>+F16+F18+F20</f>
        <v>1.9743796296296297</v>
      </c>
      <c r="J19" s="608"/>
      <c r="N19" s="350"/>
      <c r="O19" s="350"/>
    </row>
    <row r="20" spans="1:15" ht="19.95" customHeight="1" thickBot="1">
      <c r="A20" s="113"/>
      <c r="B20" s="600"/>
      <c r="C20" s="420" t="s">
        <v>349</v>
      </c>
      <c r="D20" s="594"/>
      <c r="E20" s="450">
        <f>D19*1/3</f>
        <v>921</v>
      </c>
      <c r="F20" s="421">
        <f>E20/G19</f>
        <v>0.1535</v>
      </c>
      <c r="G20" s="596"/>
      <c r="H20" s="598"/>
      <c r="I20" s="602"/>
      <c r="J20" s="608"/>
      <c r="N20" s="350"/>
      <c r="O20" s="350"/>
    </row>
    <row r="21" spans="1:15" ht="28.05" customHeight="1">
      <c r="A21" s="113"/>
      <c r="B21" s="610" t="s">
        <v>351</v>
      </c>
      <c r="C21" s="611"/>
      <c r="D21" s="611"/>
      <c r="E21" s="611"/>
      <c r="F21" s="611"/>
      <c r="G21" s="611"/>
      <c r="H21" s="611"/>
      <c r="I21" s="612"/>
      <c r="J21" s="609"/>
    </row>
    <row r="22" spans="1:15" ht="15.6">
      <c r="A22" s="113"/>
      <c r="B22" s="113"/>
      <c r="C22" s="113"/>
      <c r="D22" s="113"/>
      <c r="E22" s="113"/>
      <c r="F22" s="113"/>
      <c r="G22" s="113"/>
      <c r="H22" s="113"/>
      <c r="I22" s="113"/>
      <c r="J22" s="113"/>
    </row>
    <row r="23" spans="1:15" ht="15.6">
      <c r="A23" s="113"/>
      <c r="B23" s="582" t="s">
        <v>442</v>
      </c>
      <c r="C23" s="583"/>
      <c r="D23" s="583"/>
      <c r="E23" s="583"/>
      <c r="F23" s="583"/>
      <c r="G23" s="583"/>
      <c r="H23" s="583"/>
      <c r="I23" s="583"/>
      <c r="J23" s="584"/>
    </row>
    <row r="24" spans="1:15" ht="15.6">
      <c r="A24" s="113"/>
      <c r="B24" s="585"/>
      <c r="C24" s="586"/>
      <c r="D24" s="586"/>
      <c r="E24" s="586"/>
      <c r="F24" s="586"/>
      <c r="G24" s="586"/>
      <c r="H24" s="586"/>
      <c r="I24" s="586"/>
      <c r="J24" s="587"/>
      <c r="N24" s="351"/>
    </row>
    <row r="25" spans="1:15" ht="15.6">
      <c r="A25" s="113"/>
      <c r="B25" s="585"/>
      <c r="C25" s="586"/>
      <c r="D25" s="586"/>
      <c r="E25" s="586"/>
      <c r="F25" s="586"/>
      <c r="G25" s="586"/>
      <c r="H25" s="586"/>
      <c r="I25" s="586"/>
      <c r="J25" s="587"/>
      <c r="N25" s="351"/>
    </row>
    <row r="26" spans="1:15" ht="15.6">
      <c r="A26" s="113"/>
      <c r="B26" s="588"/>
      <c r="C26" s="589"/>
      <c r="D26" s="589"/>
      <c r="E26" s="589"/>
      <c r="F26" s="589"/>
      <c r="G26" s="589"/>
      <c r="H26" s="589"/>
      <c r="I26" s="589"/>
      <c r="J26" s="590"/>
    </row>
    <row r="27" spans="1:15" ht="15.6">
      <c r="A27" s="113"/>
      <c r="B27" s="113"/>
      <c r="C27" s="113"/>
      <c r="D27" s="113"/>
      <c r="E27" s="113"/>
      <c r="F27" s="113"/>
      <c r="G27" s="113"/>
      <c r="H27" s="113"/>
      <c r="I27" s="113"/>
      <c r="J27" s="113"/>
    </row>
  </sheetData>
  <protectedRanges>
    <protectedRange algorithmName="SHA-512" hashValue="OU9vd+OXa2XOAXGTBriWIkmZPG22Qkk92Z+shI4Z1ONzmi/kweGtYsofF4WPhptu+RvbtPYZOIZ6SXq6qgiWDg==" saltValue="4AelLl7G3cEavTQ6hCMYuw==" spinCount="100000" sqref="G15:I20 J15:J20 J21 B15:E20" name="Intervalo1_1"/>
  </protectedRanges>
  <mergeCells count="30">
    <mergeCell ref="B1:J1"/>
    <mergeCell ref="B2:J2"/>
    <mergeCell ref="B3:J3"/>
    <mergeCell ref="J15:J21"/>
    <mergeCell ref="B21:I21"/>
    <mergeCell ref="B9:J9"/>
    <mergeCell ref="B11:B13"/>
    <mergeCell ref="C11:C13"/>
    <mergeCell ref="D11:D12"/>
    <mergeCell ref="F11:F13"/>
    <mergeCell ref="G11:G12"/>
    <mergeCell ref="H11:H13"/>
    <mergeCell ref="I11:I13"/>
    <mergeCell ref="J11:J13"/>
    <mergeCell ref="E11:E13"/>
    <mergeCell ref="G17:G18"/>
    <mergeCell ref="B23:J26"/>
    <mergeCell ref="B15:B16"/>
    <mergeCell ref="D15:D16"/>
    <mergeCell ref="G15:G16"/>
    <mergeCell ref="H15:H16"/>
    <mergeCell ref="B17:B18"/>
    <mergeCell ref="B19:B20"/>
    <mergeCell ref="D17:D18"/>
    <mergeCell ref="D19:D20"/>
    <mergeCell ref="I16:I17"/>
    <mergeCell ref="I19:I20"/>
    <mergeCell ref="G19:G20"/>
    <mergeCell ref="H17:H18"/>
    <mergeCell ref="H19:H20"/>
  </mergeCells>
  <pageMargins left="0.25" right="0.25" top="0.75" bottom="0.75" header="0.3" footer="0.3"/>
  <pageSetup paperSize="9" scale="66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E7333-723F-4F9A-B752-11EB7FE6072D}">
  <sheetPr>
    <tabColor rgb="FF002060"/>
    <pageSetUpPr fitToPage="1"/>
  </sheetPr>
  <dimension ref="B1:J34"/>
  <sheetViews>
    <sheetView showGridLines="0" view="pageBreakPreview" zoomScale="90" zoomScaleNormal="85" zoomScaleSheetLayoutView="90" workbookViewId="0">
      <selection activeCell="B1" sqref="B1:E1"/>
    </sheetView>
  </sheetViews>
  <sheetFormatPr defaultColWidth="9.21875" defaultRowHeight="15.6"/>
  <cols>
    <col min="1" max="1" width="1.77734375" style="106" customWidth="1"/>
    <col min="2" max="2" width="37" style="106" customWidth="1"/>
    <col min="3" max="3" width="34.109375" style="106" customWidth="1"/>
    <col min="4" max="4" width="28.77734375" style="106" customWidth="1"/>
    <col min="5" max="5" width="33.44140625" style="106" customWidth="1"/>
    <col min="6" max="8" width="18.5546875" style="106" customWidth="1"/>
    <col min="9" max="16384" width="9.21875" style="106"/>
  </cols>
  <sheetData>
    <row r="1" spans="2:10" ht="100.5" customHeight="1">
      <c r="B1" s="635" t="s">
        <v>206</v>
      </c>
      <c r="C1" s="635"/>
      <c r="D1" s="635"/>
      <c r="E1" s="635"/>
      <c r="F1" s="125"/>
    </row>
    <row r="2" spans="2:10" ht="30.45" customHeight="1">
      <c r="B2" s="604" t="s">
        <v>434</v>
      </c>
      <c r="C2" s="604"/>
      <c r="D2" s="604"/>
      <c r="E2" s="604"/>
      <c r="F2" s="604"/>
    </row>
    <row r="3" spans="2:10" ht="30.45" customHeight="1">
      <c r="B3" s="634" t="s">
        <v>324</v>
      </c>
      <c r="C3" s="634"/>
      <c r="D3" s="634"/>
      <c r="E3" s="634"/>
      <c r="F3" s="336"/>
    </row>
    <row r="4" spans="2:10">
      <c r="B4" s="128" t="str">
        <f>'1-RESUMO PROPOSTA'!$B$4</f>
        <v xml:space="preserve">Número do  Processo: CRQ-IV 18/26     </v>
      </c>
      <c r="C4" s="128"/>
      <c r="D4" s="128"/>
      <c r="E4" s="128"/>
      <c r="F4" s="128"/>
      <c r="G4" s="128"/>
      <c r="H4" s="128"/>
      <c r="I4" s="128"/>
      <c r="J4" s="128"/>
    </row>
    <row r="5" spans="2:10">
      <c r="B5" s="129" t="str">
        <f>'1-RESUMO PROPOSTA'!$B$5</f>
        <v xml:space="preserve">Número da Licitação: Pregão Eletrônico nº 90006/2026      </v>
      </c>
      <c r="C5" s="129"/>
      <c r="D5" s="129"/>
      <c r="E5" s="129"/>
      <c r="F5" s="129"/>
      <c r="G5" s="129"/>
      <c r="H5" s="129"/>
      <c r="I5" s="129"/>
      <c r="J5" s="129"/>
    </row>
    <row r="6" spans="2:10">
      <c r="B6" s="128" t="str">
        <f>CONCATENATE("Razão Social:  ",'1-RESUMO PROPOSTA'!C$8)</f>
        <v xml:space="preserve">Razão Social:  </v>
      </c>
      <c r="C6" s="128"/>
      <c r="D6" s="128"/>
      <c r="E6" s="128"/>
      <c r="F6" s="128"/>
      <c r="G6" s="128"/>
      <c r="H6" s="128"/>
      <c r="I6" s="128"/>
      <c r="J6" s="128"/>
    </row>
    <row r="7" spans="2:10">
      <c r="B7" s="129" t="str">
        <f>CONCATENATE("CNPJ:  ",'1-RESUMO PROPOSTA'!$C$9)</f>
        <v xml:space="preserve">CNPJ:  </v>
      </c>
      <c r="C7" s="129"/>
      <c r="D7" s="129"/>
      <c r="E7" s="129"/>
      <c r="F7" s="129"/>
      <c r="G7" s="129"/>
      <c r="H7" s="129"/>
      <c r="I7" s="129"/>
      <c r="J7" s="129"/>
    </row>
    <row r="8" spans="2:10" ht="9" customHeight="1" thickBot="1">
      <c r="B8" s="337"/>
      <c r="C8" s="337"/>
      <c r="D8" s="337"/>
      <c r="E8" s="337"/>
      <c r="F8" s="125"/>
    </row>
    <row r="9" spans="2:10" s="110" customFormat="1" ht="24.75" customHeight="1" thickBot="1">
      <c r="B9" s="631" t="s">
        <v>194</v>
      </c>
      <c r="C9" s="632"/>
      <c r="D9" s="632"/>
      <c r="E9" s="633"/>
    </row>
    <row r="10" spans="2:10">
      <c r="B10" s="628" t="s">
        <v>153</v>
      </c>
      <c r="C10" s="289">
        <v>1</v>
      </c>
      <c r="D10" s="289">
        <v>2</v>
      </c>
      <c r="E10" s="289" t="s">
        <v>154</v>
      </c>
      <c r="F10" s="107"/>
      <c r="G10" s="107"/>
      <c r="H10" s="107"/>
    </row>
    <row r="11" spans="2:10" ht="19.5" customHeight="1">
      <c r="B11" s="629"/>
      <c r="C11" s="290" t="s">
        <v>155</v>
      </c>
      <c r="D11" s="291" t="s">
        <v>156</v>
      </c>
      <c r="E11" s="290" t="s">
        <v>157</v>
      </c>
      <c r="F11" s="107"/>
      <c r="G11" s="108"/>
      <c r="H11" s="107"/>
    </row>
    <row r="12" spans="2:10" ht="16.2" thickBot="1">
      <c r="B12" s="630"/>
      <c r="C12" s="292" t="s">
        <v>326</v>
      </c>
      <c r="D12" s="292" t="s">
        <v>143</v>
      </c>
      <c r="E12" s="292" t="s">
        <v>158</v>
      </c>
      <c r="F12" s="107"/>
      <c r="G12" s="107"/>
      <c r="H12" s="107"/>
    </row>
    <row r="13" spans="2:10">
      <c r="B13" s="622" t="s">
        <v>427</v>
      </c>
      <c r="C13" s="294" t="s">
        <v>160</v>
      </c>
      <c r="D13" s="624">
        <f>+'4a-CUSTOS SERVENTE AUX LIMPEZA'!D146</f>
        <v>4682.54</v>
      </c>
      <c r="E13" s="626">
        <f>D13*(1/C14)</f>
        <v>5.8531750000000002</v>
      </c>
      <c r="F13" s="107"/>
      <c r="G13" s="107"/>
      <c r="H13" s="107"/>
    </row>
    <row r="14" spans="2:10" ht="16.2" thickBot="1">
      <c r="B14" s="623"/>
      <c r="C14" s="352">
        <f>+'2-EMPREGADOS X PRODUTIVIDADE'!G15</f>
        <v>800</v>
      </c>
      <c r="D14" s="625"/>
      <c r="E14" s="627"/>
      <c r="F14" s="107"/>
      <c r="G14" s="107"/>
      <c r="H14" s="107"/>
    </row>
    <row r="15" spans="2:10">
      <c r="B15" s="622" t="s">
        <v>428</v>
      </c>
      <c r="C15" s="294" t="s">
        <v>160</v>
      </c>
      <c r="D15" s="624">
        <f>'4b-CUSTOS AGENTE HIGIENIZAÇÂO'!D146</f>
        <v>5915.24</v>
      </c>
      <c r="E15" s="626">
        <f>D15*(1/C16)</f>
        <v>7.39405</v>
      </c>
      <c r="F15" s="107"/>
      <c r="G15" s="394"/>
      <c r="H15" s="107"/>
    </row>
    <row r="16" spans="2:10" ht="16.2" thickBot="1">
      <c r="B16" s="623"/>
      <c r="C16" s="352">
        <f>+'2-EMPREGADOS X PRODUTIVIDADE'!G15</f>
        <v>800</v>
      </c>
      <c r="D16" s="625"/>
      <c r="E16" s="627"/>
      <c r="F16" s="107"/>
      <c r="G16" s="394"/>
      <c r="H16" s="107"/>
    </row>
    <row r="17" spans="2:7" ht="16.2" thickBot="1">
      <c r="B17" s="295"/>
      <c r="C17" s="295"/>
      <c r="D17" s="296"/>
      <c r="E17" s="296"/>
      <c r="G17" s="395"/>
    </row>
    <row r="18" spans="2:7" s="110" customFormat="1" ht="24.75" customHeight="1" thickBot="1">
      <c r="B18" s="631" t="s">
        <v>195</v>
      </c>
      <c r="C18" s="632"/>
      <c r="D18" s="632"/>
      <c r="E18" s="633"/>
    </row>
    <row r="19" spans="2:7">
      <c r="B19" s="628" t="s">
        <v>153</v>
      </c>
      <c r="C19" s="289">
        <v>1</v>
      </c>
      <c r="D19" s="289">
        <v>2</v>
      </c>
      <c r="E19" s="289" t="s">
        <v>154</v>
      </c>
    </row>
    <row r="20" spans="2:7" ht="19.5" customHeight="1">
      <c r="B20" s="629"/>
      <c r="C20" s="290" t="s">
        <v>155</v>
      </c>
      <c r="D20" s="291" t="s">
        <v>156</v>
      </c>
      <c r="E20" s="290" t="s">
        <v>157</v>
      </c>
    </row>
    <row r="21" spans="2:7" ht="16.2" thickBot="1">
      <c r="B21" s="630"/>
      <c r="C21" s="292" t="s">
        <v>326</v>
      </c>
      <c r="D21" s="292" t="s">
        <v>143</v>
      </c>
      <c r="E21" s="292" t="s">
        <v>158</v>
      </c>
    </row>
    <row r="22" spans="2:7">
      <c r="B22" s="622" t="s">
        <v>159</v>
      </c>
      <c r="C22" s="293" t="s">
        <v>160</v>
      </c>
      <c r="D22" s="624">
        <f>'4a-CUSTOS SERVENTE AUX LIMPEZA'!D146</f>
        <v>4682.54</v>
      </c>
      <c r="E22" s="626">
        <f>ROUND((1/C23)*D22,2)</f>
        <v>2.6</v>
      </c>
    </row>
    <row r="23" spans="2:7" ht="16.2" thickBot="1">
      <c r="B23" s="623"/>
      <c r="C23" s="352">
        <f>+'2-EMPREGADOS X PRODUTIVIDADE'!G17</f>
        <v>1800</v>
      </c>
      <c r="D23" s="625"/>
      <c r="E23" s="627"/>
    </row>
    <row r="24" spans="2:7">
      <c r="B24" s="622" t="s">
        <v>428</v>
      </c>
      <c r="C24" s="294" t="s">
        <v>160</v>
      </c>
      <c r="D24" s="624">
        <f>'4b-CUSTOS AGENTE HIGIENIZAÇÂO'!D146</f>
        <v>5915.24</v>
      </c>
      <c r="E24" s="626">
        <f>D24*(1/C25)</f>
        <v>3.2862444444444443</v>
      </c>
    </row>
    <row r="25" spans="2:7" s="109" customFormat="1" ht="26.25" customHeight="1" thickBot="1">
      <c r="B25" s="623"/>
      <c r="C25" s="352">
        <f>+'2-EMPREGADOS X PRODUTIVIDADE'!G17</f>
        <v>1800</v>
      </c>
      <c r="D25" s="625"/>
      <c r="E25" s="627"/>
    </row>
    <row r="26" spans="2:7" ht="16.2" thickBot="1">
      <c r="B26" s="296"/>
      <c r="C26" s="296"/>
      <c r="D26" s="296"/>
      <c r="E26" s="296"/>
    </row>
    <row r="27" spans="2:7" s="110" customFormat="1" ht="24.75" customHeight="1" thickBot="1">
      <c r="B27" s="631" t="s">
        <v>196</v>
      </c>
      <c r="C27" s="632"/>
      <c r="D27" s="632"/>
      <c r="E27" s="633"/>
    </row>
    <row r="28" spans="2:7">
      <c r="B28" s="628" t="s">
        <v>153</v>
      </c>
      <c r="C28" s="289">
        <v>1</v>
      </c>
      <c r="D28" s="289">
        <v>2</v>
      </c>
      <c r="E28" s="289" t="s">
        <v>154</v>
      </c>
    </row>
    <row r="29" spans="2:7" ht="23.55" customHeight="1">
      <c r="B29" s="629"/>
      <c r="C29" s="290" t="s">
        <v>155</v>
      </c>
      <c r="D29" s="291" t="s">
        <v>156</v>
      </c>
      <c r="E29" s="290" t="s">
        <v>157</v>
      </c>
    </row>
    <row r="30" spans="2:7" ht="16.2" thickBot="1">
      <c r="B30" s="630"/>
      <c r="C30" s="292" t="s">
        <v>326</v>
      </c>
      <c r="D30" s="292" t="s">
        <v>143</v>
      </c>
      <c r="E30" s="292" t="s">
        <v>158</v>
      </c>
    </row>
    <row r="31" spans="2:7">
      <c r="B31" s="622" t="s">
        <v>159</v>
      </c>
      <c r="C31" s="293" t="s">
        <v>160</v>
      </c>
      <c r="D31" s="624">
        <f>D22</f>
        <v>4682.54</v>
      </c>
      <c r="E31" s="626">
        <f>ROUND((1/C32)*D31,2)</f>
        <v>0.78</v>
      </c>
    </row>
    <row r="32" spans="2:7" ht="16.2" thickBot="1">
      <c r="B32" s="623"/>
      <c r="C32" s="352">
        <f>+'2-EMPREGADOS X PRODUTIVIDADE'!G19</f>
        <v>6000</v>
      </c>
      <c r="D32" s="625"/>
      <c r="E32" s="627"/>
    </row>
    <row r="33" spans="2:5">
      <c r="B33" s="622" t="s">
        <v>428</v>
      </c>
      <c r="C33" s="294" t="s">
        <v>160</v>
      </c>
      <c r="D33" s="624">
        <f>'4b-CUSTOS AGENTE HIGIENIZAÇÂO'!D146</f>
        <v>5915.24</v>
      </c>
      <c r="E33" s="626">
        <f>D33*(1/C34)</f>
        <v>0.98587333333333327</v>
      </c>
    </row>
    <row r="34" spans="2:5" s="109" customFormat="1" ht="26.25" customHeight="1" thickBot="1">
      <c r="B34" s="623"/>
      <c r="C34" s="352">
        <f>+'2-EMPREGADOS X PRODUTIVIDADE'!G19</f>
        <v>6000</v>
      </c>
      <c r="D34" s="625"/>
      <c r="E34" s="627"/>
    </row>
  </sheetData>
  <mergeCells count="27">
    <mergeCell ref="B33:B34"/>
    <mergeCell ref="D33:D34"/>
    <mergeCell ref="E33:E34"/>
    <mergeCell ref="B3:E3"/>
    <mergeCell ref="B1:E1"/>
    <mergeCell ref="B2:F2"/>
    <mergeCell ref="B18:E18"/>
    <mergeCell ref="B9:E9"/>
    <mergeCell ref="B19:B21"/>
    <mergeCell ref="B10:B12"/>
    <mergeCell ref="B13:B14"/>
    <mergeCell ref="D13:D14"/>
    <mergeCell ref="E13:E14"/>
    <mergeCell ref="B15:B16"/>
    <mergeCell ref="D15:D16"/>
    <mergeCell ref="E15:E16"/>
    <mergeCell ref="B31:B32"/>
    <mergeCell ref="D31:D32"/>
    <mergeCell ref="E31:E32"/>
    <mergeCell ref="B22:B23"/>
    <mergeCell ref="D22:D23"/>
    <mergeCell ref="E22:E23"/>
    <mergeCell ref="B28:B30"/>
    <mergeCell ref="B27:E27"/>
    <mergeCell ref="B24:B25"/>
    <mergeCell ref="D24:D25"/>
    <mergeCell ref="E24:E25"/>
  </mergeCells>
  <pageMargins left="0.511811024" right="0.511811024" top="0.78740157499999996" bottom="0.78740157499999996" header="0.31496062000000002" footer="0.31496062000000002"/>
  <pageSetup paperSize="9" scale="6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A13F1-0FEE-4DF2-9277-D1223AB42994}">
  <sheetPr>
    <tabColor theme="4" tint="-0.249977111117893"/>
    <pageSetUpPr fitToPage="1"/>
  </sheetPr>
  <dimension ref="A1:M155"/>
  <sheetViews>
    <sheetView showGridLines="0" view="pageBreakPreview" zoomScale="90" zoomScaleNormal="115" zoomScaleSheetLayoutView="90" workbookViewId="0">
      <selection sqref="A1:D1"/>
    </sheetView>
  </sheetViews>
  <sheetFormatPr defaultColWidth="8.77734375" defaultRowHeight="13.8"/>
  <cols>
    <col min="1" max="1" width="5.21875" style="148" bestFit="1" customWidth="1"/>
    <col min="2" max="2" width="85.21875" style="148" customWidth="1"/>
    <col min="3" max="3" width="13.77734375" style="148" bestFit="1" customWidth="1"/>
    <col min="4" max="4" width="25.77734375" style="148" customWidth="1"/>
    <col min="5" max="5" width="3.44140625" style="148" customWidth="1"/>
    <col min="6" max="6" width="10.5546875" style="148" customWidth="1"/>
    <col min="7" max="7" width="13.77734375" style="148" customWidth="1"/>
    <col min="8" max="8" width="7.5546875" style="148" customWidth="1"/>
    <col min="9" max="9" width="9.21875" style="148" bestFit="1" customWidth="1"/>
    <col min="10" max="10" width="11" style="148" customWidth="1"/>
    <col min="11" max="11" width="17.77734375" style="149" customWidth="1"/>
    <col min="12" max="13" width="13.77734375" style="149" bestFit="1" customWidth="1"/>
    <col min="14" max="16384" width="8.77734375" style="148"/>
  </cols>
  <sheetData>
    <row r="1" spans="1:13" ht="90" customHeight="1" thickBot="1">
      <c r="A1" s="603" t="s">
        <v>206</v>
      </c>
      <c r="B1" s="603"/>
      <c r="C1" s="603"/>
      <c r="D1" s="603"/>
      <c r="E1" s="124"/>
    </row>
    <row r="2" spans="1:13" ht="23.25" customHeight="1">
      <c r="A2" s="637" t="s">
        <v>434</v>
      </c>
      <c r="B2" s="638"/>
      <c r="C2" s="638"/>
      <c r="D2" s="639"/>
      <c r="E2" s="127"/>
      <c r="F2" s="640" t="s">
        <v>223</v>
      </c>
      <c r="G2" s="641"/>
      <c r="H2" s="641"/>
      <c r="I2" s="641"/>
      <c r="J2" s="641"/>
      <c r="K2" s="642"/>
      <c r="L2" s="148"/>
      <c r="M2" s="148"/>
    </row>
    <row r="3" spans="1:13" ht="34.5" customHeight="1">
      <c r="A3" s="643" t="s">
        <v>322</v>
      </c>
      <c r="B3" s="644"/>
      <c r="C3" s="644"/>
      <c r="D3" s="645"/>
      <c r="E3" s="150"/>
      <c r="F3" s="646" t="s">
        <v>420</v>
      </c>
      <c r="G3" s="647"/>
      <c r="H3" s="647"/>
      <c r="I3" s="647"/>
      <c r="J3" s="647"/>
      <c r="K3" s="648"/>
      <c r="L3" s="148"/>
      <c r="M3" s="148"/>
    </row>
    <row r="4" spans="1:13" ht="15" customHeight="1">
      <c r="A4" s="316" t="str">
        <f>'1-RESUMO PROPOSTA'!$B$4</f>
        <v xml:space="preserve">Número do  Processo: CRQ-IV 18/26     </v>
      </c>
      <c r="B4" s="128"/>
      <c r="C4" s="128"/>
      <c r="D4" s="317"/>
      <c r="E4" s="151"/>
      <c r="F4" s="646"/>
      <c r="G4" s="647"/>
      <c r="H4" s="647"/>
      <c r="I4" s="647"/>
      <c r="J4" s="647"/>
      <c r="K4" s="648"/>
      <c r="L4" s="148"/>
      <c r="M4" s="148"/>
    </row>
    <row r="5" spans="1:13" ht="15" customHeight="1">
      <c r="A5" s="398" t="str">
        <f>'1-RESUMO PROPOSTA'!$B$5</f>
        <v xml:space="preserve">Número da Licitação: Pregão Eletrônico nº 90006/2026      </v>
      </c>
      <c r="B5" s="129"/>
      <c r="C5" s="129"/>
      <c r="D5" s="399"/>
      <c r="E5" s="151"/>
      <c r="F5" s="646"/>
      <c r="G5" s="647"/>
      <c r="H5" s="647"/>
      <c r="I5" s="647"/>
      <c r="J5" s="647"/>
      <c r="K5" s="648"/>
      <c r="L5" s="148"/>
      <c r="M5" s="148"/>
    </row>
    <row r="6" spans="1:13" ht="15" customHeight="1">
      <c r="A6" s="316" t="str">
        <f>CONCATENATE("Razão Social:  ",'1-RESUMO PROPOSTA'!C$8)</f>
        <v xml:space="preserve">Razão Social:  </v>
      </c>
      <c r="B6" s="128"/>
      <c r="C6" s="128"/>
      <c r="D6" s="317"/>
      <c r="E6" s="151"/>
      <c r="F6" s="646"/>
      <c r="G6" s="647"/>
      <c r="H6" s="647"/>
      <c r="I6" s="647"/>
      <c r="J6" s="647"/>
      <c r="K6" s="648"/>
      <c r="L6" s="148"/>
      <c r="M6" s="148"/>
    </row>
    <row r="7" spans="1:13" ht="21.75" customHeight="1">
      <c r="A7" s="400" t="str">
        <f>CONCATENATE("CNPJ:  ",'1-RESUMO PROPOSTA'!C9)</f>
        <v xml:space="preserve">CNPJ:  </v>
      </c>
      <c r="B7" s="397"/>
      <c r="C7" s="397"/>
      <c r="D7" s="401"/>
      <c r="E7" s="152"/>
      <c r="F7" s="646"/>
      <c r="G7" s="647"/>
      <c r="H7" s="647"/>
      <c r="I7" s="647"/>
      <c r="J7" s="647"/>
      <c r="K7" s="648"/>
      <c r="L7" s="148"/>
      <c r="M7" s="148"/>
    </row>
    <row r="8" spans="1:13" ht="41.25" customHeight="1" thickBot="1">
      <c r="A8" s="652" t="s">
        <v>329</v>
      </c>
      <c r="B8" s="653"/>
      <c r="C8" s="653"/>
      <c r="D8" s="654"/>
      <c r="E8" s="153"/>
      <c r="F8" s="649"/>
      <c r="G8" s="650"/>
      <c r="H8" s="650"/>
      <c r="I8" s="650"/>
      <c r="J8" s="650"/>
      <c r="K8" s="651"/>
      <c r="L8" s="148"/>
      <c r="M8" s="148"/>
    </row>
    <row r="9" spans="1:13" ht="19.5" customHeight="1">
      <c r="A9" s="212" t="s">
        <v>6</v>
      </c>
      <c r="B9" s="636" t="s">
        <v>225</v>
      </c>
      <c r="C9" s="636"/>
      <c r="D9" s="402" t="s">
        <v>26</v>
      </c>
      <c r="F9" s="149"/>
      <c r="G9" s="149"/>
      <c r="H9" s="149"/>
      <c r="K9" s="148"/>
      <c r="L9" s="148"/>
      <c r="M9" s="148"/>
    </row>
    <row r="10" spans="1:13" ht="19.5" customHeight="1">
      <c r="A10" s="212" t="s">
        <v>8</v>
      </c>
      <c r="B10" s="636" t="s">
        <v>226</v>
      </c>
      <c r="C10" s="636"/>
      <c r="D10" s="403" t="s">
        <v>227</v>
      </c>
      <c r="E10" s="155"/>
      <c r="F10" s="149"/>
      <c r="G10" s="149"/>
      <c r="H10" s="149"/>
      <c r="K10" s="148"/>
      <c r="L10" s="148"/>
      <c r="M10" s="148"/>
    </row>
    <row r="11" spans="1:13" ht="19.5" customHeight="1">
      <c r="A11" s="212" t="s">
        <v>10</v>
      </c>
      <c r="B11" s="636" t="s">
        <v>228</v>
      </c>
      <c r="C11" s="636"/>
      <c r="D11" s="404">
        <v>25194</v>
      </c>
      <c r="E11" s="155"/>
      <c r="F11" s="149"/>
      <c r="G11" s="149"/>
      <c r="H11" s="149"/>
      <c r="K11" s="148"/>
      <c r="L11" s="148"/>
      <c r="M11" s="148"/>
    </row>
    <row r="12" spans="1:13" ht="19.5" customHeight="1">
      <c r="A12" s="212" t="s">
        <v>12</v>
      </c>
      <c r="B12" s="636" t="s">
        <v>171</v>
      </c>
      <c r="C12" s="636"/>
      <c r="D12" s="403" t="s">
        <v>327</v>
      </c>
      <c r="E12" s="155"/>
      <c r="F12" s="149"/>
      <c r="H12" s="149"/>
      <c r="K12" s="148"/>
      <c r="L12" s="148"/>
      <c r="M12" s="148"/>
    </row>
    <row r="13" spans="1:13" ht="19.5" customHeight="1">
      <c r="A13" s="212" t="s">
        <v>14</v>
      </c>
      <c r="B13" s="655" t="s">
        <v>379</v>
      </c>
      <c r="C13" s="656"/>
      <c r="D13" s="403" t="s">
        <v>378</v>
      </c>
      <c r="E13" s="155"/>
      <c r="F13" s="149"/>
      <c r="H13" s="149"/>
      <c r="K13" s="148"/>
      <c r="L13" s="148"/>
      <c r="M13" s="148"/>
    </row>
    <row r="14" spans="1:13" ht="19.5" customHeight="1">
      <c r="A14" s="212" t="s">
        <v>17</v>
      </c>
      <c r="B14" s="636" t="s">
        <v>229</v>
      </c>
      <c r="C14" s="636"/>
      <c r="D14" s="403" t="s">
        <v>330</v>
      </c>
      <c r="E14" s="155"/>
      <c r="F14" s="149"/>
      <c r="G14" s="149"/>
      <c r="H14" s="149"/>
      <c r="K14" s="148"/>
      <c r="L14" s="148"/>
      <c r="M14" s="148"/>
    </row>
    <row r="15" spans="1:13" ht="27" customHeight="1">
      <c r="A15" s="212" t="s">
        <v>19</v>
      </c>
      <c r="B15" s="636" t="s">
        <v>230</v>
      </c>
      <c r="C15" s="636"/>
      <c r="D15" s="405" t="s">
        <v>380</v>
      </c>
      <c r="E15" s="156"/>
      <c r="F15" s="149"/>
      <c r="G15" s="149"/>
      <c r="H15" s="149"/>
      <c r="K15" s="148"/>
      <c r="L15" s="148"/>
      <c r="M15" s="148"/>
    </row>
    <row r="16" spans="1:13" ht="19.5" customHeight="1">
      <c r="A16" s="406" t="s">
        <v>135</v>
      </c>
      <c r="B16" s="659" t="s">
        <v>231</v>
      </c>
      <c r="C16" s="660"/>
      <c r="D16" s="407">
        <v>1837.4</v>
      </c>
      <c r="E16" s="157"/>
      <c r="F16" s="149"/>
      <c r="G16" s="149"/>
      <c r="H16" s="149"/>
      <c r="K16" s="148"/>
      <c r="L16" s="148"/>
      <c r="M16" s="148"/>
    </row>
    <row r="17" spans="1:13" ht="25.5" customHeight="1">
      <c r="A17" s="212" t="s">
        <v>32</v>
      </c>
      <c r="B17" s="636" t="s">
        <v>331</v>
      </c>
      <c r="C17" s="655"/>
      <c r="D17" s="408" t="s">
        <v>332</v>
      </c>
      <c r="E17" s="156"/>
      <c r="F17" s="149"/>
      <c r="G17" s="149"/>
      <c r="H17" s="149"/>
      <c r="K17" s="148"/>
      <c r="L17" s="148"/>
      <c r="M17" s="148"/>
    </row>
    <row r="18" spans="1:13" ht="19.5" customHeight="1">
      <c r="A18" s="212" t="s">
        <v>232</v>
      </c>
      <c r="B18" s="636" t="s">
        <v>233</v>
      </c>
      <c r="C18" s="636"/>
      <c r="D18" s="409">
        <v>46023</v>
      </c>
      <c r="E18" s="155"/>
      <c r="F18" s="149"/>
      <c r="G18" s="149"/>
      <c r="H18" s="149"/>
      <c r="K18" s="148"/>
      <c r="L18" s="148"/>
      <c r="M18" s="148"/>
    </row>
    <row r="19" spans="1:13" ht="19.5" customHeight="1">
      <c r="A19" s="212" t="s">
        <v>328</v>
      </c>
      <c r="B19" s="636" t="s">
        <v>235</v>
      </c>
      <c r="C19" s="636"/>
      <c r="D19" s="402" t="s">
        <v>236</v>
      </c>
      <c r="E19" s="155"/>
      <c r="F19" s="149"/>
      <c r="G19" s="149"/>
      <c r="H19" s="149"/>
      <c r="K19" s="148"/>
      <c r="L19" s="148"/>
      <c r="M19" s="148"/>
    </row>
    <row r="20" spans="1:13" ht="19.5" customHeight="1" thickBot="1">
      <c r="A20" s="410" t="s">
        <v>234</v>
      </c>
      <c r="B20" s="661" t="s">
        <v>237</v>
      </c>
      <c r="C20" s="661"/>
      <c r="D20" s="411" t="s">
        <v>238</v>
      </c>
      <c r="E20" s="155"/>
      <c r="F20" s="149"/>
      <c r="G20" s="149"/>
      <c r="H20" s="149"/>
      <c r="K20" s="148"/>
      <c r="L20" s="148"/>
      <c r="M20" s="148"/>
    </row>
    <row r="21" spans="1:13" ht="3" customHeight="1">
      <c r="A21" s="662"/>
      <c r="B21" s="662"/>
      <c r="C21" s="662"/>
      <c r="D21" s="662"/>
      <c r="E21" s="158"/>
      <c r="I21" s="149"/>
      <c r="J21" s="149"/>
      <c r="L21" s="148"/>
      <c r="M21" s="148"/>
    </row>
    <row r="22" spans="1:13" ht="11.25" customHeight="1" thickBot="1">
      <c r="A22" s="663"/>
      <c r="B22" s="663"/>
      <c r="C22" s="663"/>
      <c r="D22" s="663"/>
      <c r="E22" s="159"/>
      <c r="I22" s="149"/>
      <c r="J22" s="149"/>
      <c r="L22" s="148"/>
      <c r="M22" s="148"/>
    </row>
    <row r="23" spans="1:13" ht="14.4">
      <c r="A23" s="664" t="s">
        <v>239</v>
      </c>
      <c r="B23" s="665"/>
      <c r="C23" s="665"/>
      <c r="D23" s="666"/>
      <c r="E23" s="160"/>
      <c r="I23" s="149"/>
      <c r="J23" s="149"/>
      <c r="L23" s="148"/>
      <c r="M23" s="148"/>
    </row>
    <row r="24" spans="1:13" ht="18" customHeight="1" thickBot="1">
      <c r="A24" s="667" t="s">
        <v>240</v>
      </c>
      <c r="B24" s="668"/>
      <c r="C24" s="668"/>
      <c r="D24" s="669"/>
      <c r="E24" s="161"/>
      <c r="I24" s="149"/>
      <c r="J24" s="149"/>
      <c r="L24" s="148"/>
      <c r="M24" s="148"/>
    </row>
    <row r="25" spans="1:13" ht="13.5" customHeight="1" thickBot="1">
      <c r="A25" s="149"/>
      <c r="B25" s="149"/>
      <c r="C25" s="149"/>
      <c r="D25" s="149"/>
      <c r="E25" s="149"/>
      <c r="F25" s="149"/>
      <c r="G25" s="149"/>
      <c r="H25" s="149"/>
      <c r="I25" s="149"/>
      <c r="J25" s="149"/>
      <c r="L25" s="148"/>
      <c r="M25" s="148"/>
    </row>
    <row r="26" spans="1:13" ht="18" customHeight="1">
      <c r="A26" s="670" t="s">
        <v>241</v>
      </c>
      <c r="B26" s="671"/>
      <c r="C26" s="671"/>
      <c r="D26" s="672"/>
      <c r="E26" s="162"/>
    </row>
    <row r="27" spans="1:13" ht="18" customHeight="1">
      <c r="A27" s="163">
        <v>1</v>
      </c>
      <c r="B27" s="164" t="s">
        <v>242</v>
      </c>
      <c r="C27" s="164"/>
      <c r="D27" s="165" t="s">
        <v>35</v>
      </c>
      <c r="E27" s="166"/>
    </row>
    <row r="28" spans="1:13" ht="18" customHeight="1">
      <c r="A28" s="163" t="s">
        <v>6</v>
      </c>
      <c r="B28" s="167" t="s">
        <v>243</v>
      </c>
      <c r="C28" s="167"/>
      <c r="D28" s="168">
        <f>D16</f>
        <v>1837.4</v>
      </c>
      <c r="E28" s="169"/>
    </row>
    <row r="29" spans="1:13" ht="18" customHeight="1">
      <c r="A29" s="163" t="s">
        <v>8</v>
      </c>
      <c r="B29" s="167" t="s">
        <v>169</v>
      </c>
      <c r="C29" s="167"/>
      <c r="D29" s="366"/>
      <c r="E29" s="169"/>
    </row>
    <row r="30" spans="1:13" ht="18" customHeight="1">
      <c r="A30" s="163" t="s">
        <v>10</v>
      </c>
      <c r="B30" s="167" t="s">
        <v>170</v>
      </c>
      <c r="C30" s="167"/>
      <c r="D30" s="366"/>
      <c r="E30" s="169"/>
    </row>
    <row r="31" spans="1:13" ht="18" customHeight="1">
      <c r="A31" s="163" t="s">
        <v>12</v>
      </c>
      <c r="B31" s="365" t="s">
        <v>333</v>
      </c>
      <c r="C31" s="167"/>
      <c r="D31" s="366"/>
      <c r="E31" s="169"/>
    </row>
    <row r="32" spans="1:13" ht="18" customHeight="1" thickBot="1">
      <c r="A32" s="657" t="s">
        <v>244</v>
      </c>
      <c r="B32" s="658"/>
      <c r="C32" s="171"/>
      <c r="D32" s="172">
        <f>SUM(D28:D31)</f>
        <v>1837.4</v>
      </c>
      <c r="E32" s="173"/>
    </row>
    <row r="33" spans="1:5" ht="13.5" customHeight="1">
      <c r="A33" s="676"/>
      <c r="B33" s="677"/>
      <c r="C33" s="677"/>
      <c r="D33" s="677"/>
      <c r="E33" s="174"/>
    </row>
    <row r="34" spans="1:5" ht="11.25" customHeight="1" thickBot="1">
      <c r="A34" s="175"/>
      <c r="B34" s="175"/>
      <c r="C34" s="175"/>
      <c r="D34" s="175"/>
      <c r="E34" s="175"/>
    </row>
    <row r="35" spans="1:5" ht="18" customHeight="1" thickBot="1">
      <c r="A35" s="678" t="s">
        <v>245</v>
      </c>
      <c r="B35" s="679"/>
      <c r="C35" s="679"/>
      <c r="D35" s="680"/>
      <c r="E35" s="162"/>
    </row>
    <row r="36" spans="1:5" ht="18" customHeight="1">
      <c r="A36" s="681" t="s">
        <v>246</v>
      </c>
      <c r="B36" s="682"/>
      <c r="C36" s="682"/>
      <c r="D36" s="683"/>
      <c r="E36" s="176"/>
    </row>
    <row r="37" spans="1:5" ht="18" customHeight="1">
      <c r="A37" s="177" t="s">
        <v>161</v>
      </c>
      <c r="B37" s="178" t="s">
        <v>247</v>
      </c>
      <c r="C37" s="179" t="s">
        <v>248</v>
      </c>
      <c r="D37" s="180" t="s">
        <v>35</v>
      </c>
      <c r="E37" s="181"/>
    </row>
    <row r="38" spans="1:5" ht="18" customHeight="1">
      <c r="A38" s="163" t="s">
        <v>6</v>
      </c>
      <c r="B38" s="167" t="s">
        <v>249</v>
      </c>
      <c r="C38" s="182">
        <f>(1/12)</f>
        <v>8.3333333333333329E-2</v>
      </c>
      <c r="D38" s="170">
        <f>C38*$D$32</f>
        <v>153.11666666666667</v>
      </c>
      <c r="E38" s="169"/>
    </row>
    <row r="39" spans="1:5" ht="18" customHeight="1">
      <c r="A39" s="163" t="s">
        <v>8</v>
      </c>
      <c r="B39" s="167" t="s">
        <v>250</v>
      </c>
      <c r="C39" s="183">
        <v>0.1111</v>
      </c>
      <c r="D39" s="170">
        <f>C39*$D$32</f>
        <v>204.13514000000001</v>
      </c>
      <c r="E39" s="169"/>
    </row>
    <row r="40" spans="1:5" ht="18" customHeight="1" thickBot="1">
      <c r="A40" s="657" t="s">
        <v>251</v>
      </c>
      <c r="B40" s="658"/>
      <c r="C40" s="184">
        <f>SUM(C38:C39)</f>
        <v>0.19443333333333335</v>
      </c>
      <c r="D40" s="172">
        <f>SUM(D38:D39)</f>
        <v>357.25180666666665</v>
      </c>
      <c r="E40" s="173"/>
    </row>
    <row r="41" spans="1:5" ht="15" customHeight="1" thickBot="1">
      <c r="A41" s="684"/>
      <c r="B41" s="685"/>
      <c r="C41" s="685"/>
      <c r="D41" s="685"/>
      <c r="E41" s="185"/>
    </row>
    <row r="42" spans="1:5" ht="18.75" customHeight="1">
      <c r="A42" s="686" t="s">
        <v>252</v>
      </c>
      <c r="B42" s="687"/>
      <c r="C42" s="687"/>
      <c r="D42" s="688"/>
      <c r="E42" s="186"/>
    </row>
    <row r="43" spans="1:5" ht="18" customHeight="1">
      <c r="A43" s="163" t="s">
        <v>162</v>
      </c>
      <c r="B43" s="179" t="s">
        <v>167</v>
      </c>
      <c r="C43" s="179" t="s">
        <v>248</v>
      </c>
      <c r="D43" s="187" t="s">
        <v>35</v>
      </c>
      <c r="E43" s="176"/>
    </row>
    <row r="44" spans="1:5" ht="18" customHeight="1">
      <c r="A44" s="163" t="s">
        <v>6</v>
      </c>
      <c r="B44" s="167" t="s">
        <v>45</v>
      </c>
      <c r="C44" s="367">
        <v>0.2</v>
      </c>
      <c r="D44" s="170">
        <f t="shared" ref="D44:D51" si="0">C44*($D$32+$D$40)</f>
        <v>438.93036133333339</v>
      </c>
      <c r="E44" s="169"/>
    </row>
    <row r="45" spans="1:5" ht="18" customHeight="1">
      <c r="A45" s="163" t="s">
        <v>8</v>
      </c>
      <c r="B45" s="167" t="s">
        <v>253</v>
      </c>
      <c r="C45" s="367">
        <v>2.5000000000000001E-2</v>
      </c>
      <c r="D45" s="170">
        <f t="shared" si="0"/>
        <v>54.866295166666674</v>
      </c>
      <c r="E45" s="169"/>
    </row>
    <row r="46" spans="1:5" ht="18" customHeight="1">
      <c r="A46" s="163" t="s">
        <v>10</v>
      </c>
      <c r="B46" s="167" t="s">
        <v>254</v>
      </c>
      <c r="C46" s="368">
        <v>0.03</v>
      </c>
      <c r="D46" s="170">
        <f t="shared" si="0"/>
        <v>65.839554199999995</v>
      </c>
      <c r="E46" s="169"/>
    </row>
    <row r="47" spans="1:5" ht="18" customHeight="1">
      <c r="A47" s="163" t="s">
        <v>12</v>
      </c>
      <c r="B47" s="167" t="s">
        <v>255</v>
      </c>
      <c r="C47" s="367">
        <v>1.4999999999999999E-2</v>
      </c>
      <c r="D47" s="170">
        <f t="shared" si="0"/>
        <v>32.919777099999997</v>
      </c>
      <c r="E47" s="169"/>
    </row>
    <row r="48" spans="1:5" ht="18" customHeight="1">
      <c r="A48" s="163" t="s">
        <v>14</v>
      </c>
      <c r="B48" s="167" t="s">
        <v>256</v>
      </c>
      <c r="C48" s="367">
        <v>0.01</v>
      </c>
      <c r="D48" s="170">
        <f t="shared" si="0"/>
        <v>21.946518066666666</v>
      </c>
      <c r="E48" s="169"/>
    </row>
    <row r="49" spans="1:13" ht="18" customHeight="1">
      <c r="A49" s="163" t="s">
        <v>17</v>
      </c>
      <c r="B49" s="167" t="s">
        <v>52</v>
      </c>
      <c r="C49" s="367">
        <v>6.0000000000000001E-3</v>
      </c>
      <c r="D49" s="170">
        <f t="shared" si="0"/>
        <v>13.167910840000001</v>
      </c>
      <c r="E49" s="169"/>
    </row>
    <row r="50" spans="1:13" ht="18" customHeight="1">
      <c r="A50" s="163" t="s">
        <v>19</v>
      </c>
      <c r="B50" s="167" t="s">
        <v>48</v>
      </c>
      <c r="C50" s="367">
        <v>2E-3</v>
      </c>
      <c r="D50" s="170">
        <f t="shared" si="0"/>
        <v>4.3893036133333334</v>
      </c>
      <c r="E50" s="169"/>
    </row>
    <row r="51" spans="1:13" ht="18" customHeight="1">
      <c r="A51" s="163" t="s">
        <v>135</v>
      </c>
      <c r="B51" s="167" t="s">
        <v>50</v>
      </c>
      <c r="C51" s="367">
        <v>0.08</v>
      </c>
      <c r="D51" s="170">
        <f t="shared" si="0"/>
        <v>175.57214453333333</v>
      </c>
      <c r="E51" s="169"/>
    </row>
    <row r="52" spans="1:13" ht="18" customHeight="1" thickBot="1">
      <c r="A52" s="188" t="s">
        <v>152</v>
      </c>
      <c r="B52" s="171"/>
      <c r="C52" s="189">
        <f>SUM(C44:C51)</f>
        <v>0.36800000000000005</v>
      </c>
      <c r="D52" s="172">
        <f>SUM(D44:D51)</f>
        <v>807.63186485333335</v>
      </c>
      <c r="E52" s="173"/>
    </row>
    <row r="53" spans="1:13" ht="33" customHeight="1">
      <c r="A53" s="689" t="s">
        <v>257</v>
      </c>
      <c r="B53" s="690"/>
      <c r="C53" s="690"/>
      <c r="D53" s="690"/>
      <c r="E53" s="190"/>
    </row>
    <row r="54" spans="1:13" ht="24.75" customHeight="1">
      <c r="A54" s="691" t="s">
        <v>258</v>
      </c>
      <c r="B54" s="692"/>
      <c r="C54" s="692"/>
      <c r="D54" s="692"/>
      <c r="E54" s="191"/>
    </row>
    <row r="55" spans="1:13" ht="36" customHeight="1">
      <c r="A55" s="693" t="s">
        <v>259</v>
      </c>
      <c r="B55" s="694"/>
      <c r="C55" s="694"/>
      <c r="D55" s="694"/>
      <c r="E55" s="192"/>
    </row>
    <row r="56" spans="1:13" ht="25.5" customHeight="1">
      <c r="A56" s="691" t="s">
        <v>260</v>
      </c>
      <c r="B56" s="692"/>
      <c r="C56" s="692"/>
      <c r="D56" s="692"/>
      <c r="E56" s="191"/>
    </row>
    <row r="57" spans="1:13" ht="12.75" customHeight="1" thickBot="1">
      <c r="A57" s="695"/>
      <c r="B57" s="696"/>
      <c r="C57" s="696"/>
      <c r="D57" s="696"/>
      <c r="E57" s="155"/>
    </row>
    <row r="58" spans="1:13" ht="18" customHeight="1" thickBot="1">
      <c r="A58" s="673" t="s">
        <v>261</v>
      </c>
      <c r="B58" s="674"/>
      <c r="C58" s="674"/>
      <c r="D58" s="675"/>
      <c r="E58" s="193"/>
    </row>
    <row r="59" spans="1:13" ht="18" customHeight="1">
      <c r="A59" s="194" t="s">
        <v>163</v>
      </c>
      <c r="B59" s="195" t="s">
        <v>262</v>
      </c>
      <c r="C59" s="196" t="s">
        <v>263</v>
      </c>
      <c r="D59" s="197" t="s">
        <v>35</v>
      </c>
      <c r="E59" s="176"/>
    </row>
    <row r="60" spans="1:13" ht="18" customHeight="1">
      <c r="A60" s="163" t="s">
        <v>6</v>
      </c>
      <c r="B60" s="198" t="s">
        <v>264</v>
      </c>
      <c r="C60" s="154">
        <f>'5-BENEFICIOS'!$C$14</f>
        <v>22</v>
      </c>
      <c r="D60" s="199">
        <f>'5-BENEFICIOS'!C22</f>
        <v>0</v>
      </c>
      <c r="E60" s="200"/>
      <c r="F60" s="155"/>
      <c r="J60" s="149"/>
      <c r="M60" s="148"/>
    </row>
    <row r="61" spans="1:13" ht="18" customHeight="1">
      <c r="A61" s="163" t="s">
        <v>8</v>
      </c>
      <c r="B61" s="167" t="s">
        <v>265</v>
      </c>
      <c r="C61" s="154">
        <f>'5-BENEFICIOS'!$C$35</f>
        <v>22</v>
      </c>
      <c r="D61" s="170">
        <f>'5-BENEFICIOS'!C39</f>
        <v>447.48</v>
      </c>
      <c r="E61" s="169"/>
    </row>
    <row r="62" spans="1:13" ht="18" customHeight="1">
      <c r="A62" s="163" t="s">
        <v>10</v>
      </c>
      <c r="B62" s="167" t="s">
        <v>266</v>
      </c>
      <c r="C62" s="154" t="s">
        <v>26</v>
      </c>
      <c r="D62" s="170" cm="1">
        <f t="array" ref="D62:E62">'5-BENEFICIOS'!C30:D30</f>
        <v>151.91</v>
      </c>
      <c r="E62" s="169">
        <v>0</v>
      </c>
      <c r="F62" s="155"/>
      <c r="L62" s="325" t="s">
        <v>134</v>
      </c>
    </row>
    <row r="63" spans="1:13" ht="18" customHeight="1">
      <c r="A63" s="163" t="s">
        <v>12</v>
      </c>
      <c r="B63" s="167" t="s">
        <v>267</v>
      </c>
      <c r="C63" s="154" t="s">
        <v>26</v>
      </c>
      <c r="D63" s="170">
        <v>37.090000000000003</v>
      </c>
      <c r="E63" s="169"/>
    </row>
    <row r="64" spans="1:13" ht="18" customHeight="1">
      <c r="A64" s="163" t="s">
        <v>14</v>
      </c>
      <c r="B64" s="167" t="s">
        <v>268</v>
      </c>
      <c r="C64" s="154" t="s">
        <v>26</v>
      </c>
      <c r="D64" s="366">
        <v>0</v>
      </c>
      <c r="E64" s="169"/>
    </row>
    <row r="65" spans="1:13" ht="18" customHeight="1">
      <c r="A65" s="163" t="s">
        <v>17</v>
      </c>
      <c r="B65" s="167" t="s">
        <v>269</v>
      </c>
      <c r="C65" s="154" t="s">
        <v>26</v>
      </c>
      <c r="D65" s="366">
        <v>0</v>
      </c>
      <c r="E65" s="169"/>
    </row>
    <row r="66" spans="1:13" ht="18" customHeight="1">
      <c r="A66" s="201" t="s">
        <v>19</v>
      </c>
      <c r="B66" s="202" t="s">
        <v>369</v>
      </c>
      <c r="C66" s="154" t="s">
        <v>26</v>
      </c>
      <c r="D66" s="170">
        <f>'5-BENEFICIOS'!C43</f>
        <v>315</v>
      </c>
      <c r="E66" s="169"/>
    </row>
    <row r="67" spans="1:13" ht="18" customHeight="1">
      <c r="A67" s="201" t="s">
        <v>135</v>
      </c>
      <c r="B67" s="202" t="s">
        <v>370</v>
      </c>
      <c r="C67" s="203" t="s">
        <v>26</v>
      </c>
      <c r="D67" s="204">
        <f>'5-BENEFICIOS'!D42</f>
        <v>29.7</v>
      </c>
      <c r="E67" s="200"/>
    </row>
    <row r="68" spans="1:13" ht="18" customHeight="1">
      <c r="A68" s="201" t="s">
        <v>32</v>
      </c>
      <c r="B68" s="202" t="s">
        <v>371</v>
      </c>
      <c r="C68" s="203" t="s">
        <v>26</v>
      </c>
      <c r="D68" s="204">
        <f>+'5-BENEFICIOS'!D45</f>
        <v>105.33</v>
      </c>
      <c r="E68" s="169"/>
    </row>
    <row r="69" spans="1:13" ht="18" customHeight="1">
      <c r="A69" s="201" t="s">
        <v>232</v>
      </c>
      <c r="B69" s="202" t="str">
        <f>CONCATENATE("Outros benefícios - ",'5-BENEFICIOS'!B46)</f>
        <v>Outros benefícios - OUTROS BENEFICIOS (ESPECIFICAR)</v>
      </c>
      <c r="C69" s="203" t="s">
        <v>26</v>
      </c>
      <c r="D69" s="204">
        <f>'5-BENEFICIOS'!C46</f>
        <v>0</v>
      </c>
      <c r="E69" s="169"/>
    </row>
    <row r="70" spans="1:13" ht="18" customHeight="1" thickBot="1">
      <c r="A70" s="188" t="s">
        <v>152</v>
      </c>
      <c r="B70" s="171"/>
      <c r="C70" s="171"/>
      <c r="D70" s="172">
        <f>SUM(D60:D68)</f>
        <v>1086.51</v>
      </c>
      <c r="E70" s="173"/>
    </row>
    <row r="71" spans="1:13" ht="15" customHeight="1" thickBot="1">
      <c r="A71" s="699"/>
      <c r="B71" s="700"/>
      <c r="C71" s="700"/>
      <c r="D71" s="700"/>
      <c r="E71" s="155"/>
    </row>
    <row r="72" spans="1:13" ht="18" customHeight="1" thickBot="1">
      <c r="A72" s="673" t="s">
        <v>270</v>
      </c>
      <c r="B72" s="674"/>
      <c r="C72" s="674"/>
      <c r="D72" s="675"/>
      <c r="E72" s="193"/>
    </row>
    <row r="73" spans="1:13" ht="18" customHeight="1">
      <c r="A73" s="194">
        <v>2</v>
      </c>
      <c r="B73" s="205" t="s">
        <v>271</v>
      </c>
      <c r="C73" s="205"/>
      <c r="D73" s="197" t="s">
        <v>35</v>
      </c>
      <c r="E73" s="176"/>
    </row>
    <row r="74" spans="1:13" ht="18" customHeight="1">
      <c r="A74" s="163" t="s">
        <v>161</v>
      </c>
      <c r="B74" s="198" t="s">
        <v>247</v>
      </c>
      <c r="C74" s="198"/>
      <c r="D74" s="170">
        <f>D40</f>
        <v>357.25180666666665</v>
      </c>
      <c r="E74" s="169"/>
    </row>
    <row r="75" spans="1:13" ht="18" customHeight="1">
      <c r="A75" s="163" t="s">
        <v>162</v>
      </c>
      <c r="B75" s="167" t="s">
        <v>167</v>
      </c>
      <c r="C75" s="167"/>
      <c r="D75" s="170">
        <f>D52</f>
        <v>807.63186485333335</v>
      </c>
      <c r="E75" s="169"/>
    </row>
    <row r="76" spans="1:13" ht="18" customHeight="1">
      <c r="A76" s="163" t="s">
        <v>163</v>
      </c>
      <c r="B76" s="167" t="s">
        <v>262</v>
      </c>
      <c r="C76" s="167"/>
      <c r="D76" s="170">
        <f>D70</f>
        <v>1086.51</v>
      </c>
      <c r="E76" s="169"/>
    </row>
    <row r="77" spans="1:13" ht="18" customHeight="1" thickBot="1">
      <c r="A77" s="188" t="s">
        <v>152</v>
      </c>
      <c r="B77" s="171"/>
      <c r="C77" s="171"/>
      <c r="D77" s="172">
        <f>SUM(D74:D76)</f>
        <v>2251.3936715199998</v>
      </c>
      <c r="E77" s="173"/>
    </row>
    <row r="78" spans="1:13" ht="15" customHeight="1" thickBot="1">
      <c r="A78" s="697"/>
      <c r="B78" s="698"/>
      <c r="C78" s="698"/>
      <c r="D78" s="698"/>
      <c r="E78" s="155"/>
      <c r="M78" s="206"/>
    </row>
    <row r="79" spans="1:13" ht="18" customHeight="1" thickBot="1">
      <c r="A79" s="701" t="s">
        <v>272</v>
      </c>
      <c r="B79" s="702"/>
      <c r="C79" s="702"/>
      <c r="D79" s="703"/>
      <c r="E79" s="207"/>
      <c r="M79" s="206"/>
    </row>
    <row r="80" spans="1:13" ht="18" customHeight="1">
      <c r="A80" s="194">
        <v>3</v>
      </c>
      <c r="B80" s="195" t="s">
        <v>273</v>
      </c>
      <c r="C80" s="195" t="s">
        <v>248</v>
      </c>
      <c r="D80" s="197" t="s">
        <v>35</v>
      </c>
      <c r="E80" s="176"/>
      <c r="M80" s="206"/>
    </row>
    <row r="81" spans="1:13" ht="18" customHeight="1">
      <c r="A81" s="163" t="s">
        <v>6</v>
      </c>
      <c r="B81" s="198" t="s">
        <v>168</v>
      </c>
      <c r="C81" s="369">
        <f>((1/12)*0.05)</f>
        <v>4.1666666666666666E-3</v>
      </c>
      <c r="D81" s="170">
        <f>C81*($D$32)</f>
        <v>7.6558333333333337</v>
      </c>
      <c r="E81" s="169"/>
    </row>
    <row r="82" spans="1:13" ht="18" customHeight="1">
      <c r="A82" s="163" t="s">
        <v>8</v>
      </c>
      <c r="B82" s="198" t="s">
        <v>274</v>
      </c>
      <c r="C82" s="369">
        <f>C51*C81</f>
        <v>3.3333333333333332E-4</v>
      </c>
      <c r="D82" s="170">
        <f t="shared" ref="D82:D86" si="1">C82*($D$32)</f>
        <v>0.61246666666666671</v>
      </c>
      <c r="E82" s="169"/>
    </row>
    <row r="83" spans="1:13" ht="18" customHeight="1">
      <c r="A83" s="163" t="s">
        <v>10</v>
      </c>
      <c r="B83" s="198" t="s">
        <v>275</v>
      </c>
      <c r="C83" s="370">
        <v>0.02</v>
      </c>
      <c r="D83" s="170">
        <f t="shared" si="1"/>
        <v>36.748000000000005</v>
      </c>
      <c r="E83" s="169"/>
      <c r="M83" s="206"/>
    </row>
    <row r="84" spans="1:13" ht="18" customHeight="1">
      <c r="A84" s="163" t="s">
        <v>12</v>
      </c>
      <c r="B84" s="198" t="s">
        <v>276</v>
      </c>
      <c r="C84" s="370">
        <f>(7/30)/12</f>
        <v>1.9444444444444445E-2</v>
      </c>
      <c r="D84" s="170">
        <f>C84*($D$32)</f>
        <v>35.727222222222224</v>
      </c>
      <c r="E84" s="169"/>
    </row>
    <row r="85" spans="1:13" ht="18" customHeight="1">
      <c r="A85" s="163" t="s">
        <v>14</v>
      </c>
      <c r="B85" s="198" t="s">
        <v>277</v>
      </c>
      <c r="C85" s="370">
        <f>C84*C52</f>
        <v>7.1555555555555565E-3</v>
      </c>
      <c r="D85" s="170">
        <f>C85*($D$32)</f>
        <v>13.14761777777778</v>
      </c>
      <c r="E85" s="169"/>
    </row>
    <row r="86" spans="1:13" ht="18" customHeight="1">
      <c r="A86" s="163" t="s">
        <v>17</v>
      </c>
      <c r="B86" s="198" t="s">
        <v>278</v>
      </c>
      <c r="C86" s="371">
        <v>0.02</v>
      </c>
      <c r="D86" s="170">
        <f t="shared" si="1"/>
        <v>36.748000000000005</v>
      </c>
      <c r="E86" s="169"/>
    </row>
    <row r="87" spans="1:13" ht="18" customHeight="1" thickBot="1">
      <c r="A87" s="188" t="s">
        <v>152</v>
      </c>
      <c r="B87" s="171"/>
      <c r="C87" s="208">
        <f>SUM(C81:C86)</f>
        <v>7.1099999999999997E-2</v>
      </c>
      <c r="D87" s="172">
        <f>SUM(D81:D86)</f>
        <v>130.63914</v>
      </c>
      <c r="E87" s="173"/>
    </row>
    <row r="88" spans="1:13" ht="51" customHeight="1">
      <c r="A88" s="704" t="s">
        <v>279</v>
      </c>
      <c r="B88" s="705"/>
      <c r="C88" s="705"/>
      <c r="D88" s="705"/>
      <c r="E88" s="209"/>
    </row>
    <row r="89" spans="1:13" ht="15" customHeight="1" thickBot="1">
      <c r="A89" s="699"/>
      <c r="B89" s="700"/>
      <c r="C89" s="700"/>
      <c r="D89" s="700"/>
      <c r="E89" s="155"/>
    </row>
    <row r="90" spans="1:13" ht="18" customHeight="1" thickBot="1">
      <c r="A90" s="701" t="s">
        <v>280</v>
      </c>
      <c r="B90" s="702"/>
      <c r="C90" s="702"/>
      <c r="D90" s="703"/>
      <c r="E90" s="207"/>
    </row>
    <row r="91" spans="1:13" ht="34.5" customHeight="1" thickBot="1">
      <c r="A91" s="706" t="s">
        <v>281</v>
      </c>
      <c r="B91" s="707"/>
      <c r="C91" s="707"/>
      <c r="D91" s="707"/>
      <c r="E91" s="210"/>
    </row>
    <row r="92" spans="1:13" ht="16.5" customHeight="1">
      <c r="A92" s="708" t="s">
        <v>282</v>
      </c>
      <c r="B92" s="709"/>
      <c r="C92" s="709"/>
      <c r="D92" s="710"/>
      <c r="E92" s="211"/>
    </row>
    <row r="93" spans="1:13" ht="18" customHeight="1">
      <c r="A93" s="163" t="s">
        <v>164</v>
      </c>
      <c r="B93" s="179" t="s">
        <v>283</v>
      </c>
      <c r="C93" s="179" t="s">
        <v>248</v>
      </c>
      <c r="D93" s="187" t="s">
        <v>35</v>
      </c>
      <c r="E93" s="176"/>
    </row>
    <row r="94" spans="1:13" ht="18" customHeight="1">
      <c r="A94" s="212" t="s">
        <v>6</v>
      </c>
      <c r="B94" s="198" t="s">
        <v>284</v>
      </c>
      <c r="C94" s="372">
        <f>((1/12)+(1/12)+(1/3/12))/12</f>
        <v>1.6203703703703703E-2</v>
      </c>
      <c r="D94" s="170">
        <f t="shared" ref="D94:D99" si="2">C94*($D$32)</f>
        <v>29.772685185185185</v>
      </c>
      <c r="E94" s="169"/>
    </row>
    <row r="95" spans="1:13" ht="18" customHeight="1">
      <c r="A95" s="212" t="s">
        <v>8</v>
      </c>
      <c r="B95" s="198" t="s">
        <v>285</v>
      </c>
      <c r="C95" s="372">
        <f>(2/30)/12</f>
        <v>5.5555555555555558E-3</v>
      </c>
      <c r="D95" s="170">
        <f t="shared" si="2"/>
        <v>10.207777777777778</v>
      </c>
      <c r="E95" s="169"/>
    </row>
    <row r="96" spans="1:13" ht="18" customHeight="1">
      <c r="A96" s="212" t="s">
        <v>10</v>
      </c>
      <c r="B96" s="198" t="s">
        <v>286</v>
      </c>
      <c r="C96" s="372">
        <f>((5/30)/12)*0.02</f>
        <v>2.7777777777777778E-4</v>
      </c>
      <c r="D96" s="170">
        <f t="shared" si="2"/>
        <v>0.51038888888888889</v>
      </c>
      <c r="E96" s="169"/>
    </row>
    <row r="97" spans="1:6" ht="18" customHeight="1">
      <c r="A97" s="212" t="s">
        <v>12</v>
      </c>
      <c r="B97" s="198" t="s">
        <v>287</v>
      </c>
      <c r="C97" s="372">
        <f>(((15/30)/12)*0.0078)</f>
        <v>3.2499999999999999E-4</v>
      </c>
      <c r="D97" s="170">
        <f t="shared" si="2"/>
        <v>0.59715499999999999</v>
      </c>
      <c r="E97" s="169"/>
    </row>
    <row r="98" spans="1:6" ht="18" customHeight="1">
      <c r="A98" s="212" t="s">
        <v>14</v>
      </c>
      <c r="B98" s="198" t="s">
        <v>288</v>
      </c>
      <c r="C98" s="372">
        <f>((1+1/3)/12)*0.02*((4/12))</f>
        <v>7.407407407407407E-4</v>
      </c>
      <c r="D98" s="170">
        <f t="shared" si="2"/>
        <v>1.361037037037037</v>
      </c>
      <c r="E98" s="169"/>
    </row>
    <row r="99" spans="1:6" ht="18" customHeight="1">
      <c r="A99" s="212" t="s">
        <v>17</v>
      </c>
      <c r="B99" s="198" t="s">
        <v>289</v>
      </c>
      <c r="C99" s="372">
        <v>0</v>
      </c>
      <c r="D99" s="170">
        <f t="shared" si="2"/>
        <v>0</v>
      </c>
      <c r="E99" s="169"/>
    </row>
    <row r="100" spans="1:6" ht="18" customHeight="1">
      <c r="A100" s="711" t="s">
        <v>290</v>
      </c>
      <c r="B100" s="712"/>
      <c r="C100" s="213">
        <f>SUM(C94:C99)</f>
        <v>2.3102777777777774E-2</v>
      </c>
      <c r="D100" s="214">
        <f>SUM(D94:D99)</f>
        <v>42.449043888888887</v>
      </c>
      <c r="E100" s="215"/>
      <c r="F100" s="216"/>
    </row>
    <row r="101" spans="1:6" ht="18" customHeight="1">
      <c r="A101" s="212" t="s">
        <v>32</v>
      </c>
      <c r="B101" s="198" t="s">
        <v>291</v>
      </c>
      <c r="C101" s="217">
        <f>C100*C52</f>
        <v>8.5018222222222224E-3</v>
      </c>
      <c r="D101" s="199">
        <f>C101*($D$32)</f>
        <v>15.621248151111113</v>
      </c>
      <c r="E101" s="200"/>
    </row>
    <row r="102" spans="1:6" ht="18" customHeight="1" thickBot="1">
      <c r="A102" s="713" t="s">
        <v>152</v>
      </c>
      <c r="B102" s="714"/>
      <c r="C102" s="218">
        <f>SUM(C100:C101)</f>
        <v>3.1604599999999997E-2</v>
      </c>
      <c r="D102" s="219">
        <f>SUM(D100:D101)</f>
        <v>58.070292039999998</v>
      </c>
      <c r="E102" s="220"/>
      <c r="F102" s="216"/>
    </row>
    <row r="103" spans="1:6" ht="15" customHeight="1" thickBot="1">
      <c r="A103" s="697"/>
      <c r="B103" s="698"/>
      <c r="C103" s="698"/>
      <c r="D103" s="698"/>
      <c r="E103" s="155"/>
    </row>
    <row r="104" spans="1:6" ht="15" customHeight="1">
      <c r="A104" s="681" t="s">
        <v>292</v>
      </c>
      <c r="B104" s="682"/>
      <c r="C104" s="682"/>
      <c r="D104" s="683"/>
      <c r="E104" s="176"/>
    </row>
    <row r="105" spans="1:6" ht="15" customHeight="1">
      <c r="A105" s="221" t="s">
        <v>165</v>
      </c>
      <c r="B105" s="222" t="s">
        <v>293</v>
      </c>
      <c r="C105" s="222" t="s">
        <v>35</v>
      </c>
      <c r="D105" s="223"/>
      <c r="E105" s="224"/>
    </row>
    <row r="106" spans="1:6" ht="15" customHeight="1">
      <c r="A106" s="221" t="s">
        <v>6</v>
      </c>
      <c r="B106" s="225" t="s">
        <v>294</v>
      </c>
      <c r="C106" s="226">
        <v>0</v>
      </c>
      <c r="D106" s="227">
        <v>0</v>
      </c>
      <c r="E106" s="228"/>
    </row>
    <row r="107" spans="1:6" ht="15" customHeight="1" thickBot="1">
      <c r="A107" s="715" t="s">
        <v>152</v>
      </c>
      <c r="B107" s="716"/>
      <c r="C107" s="229">
        <f>SUM(C106)</f>
        <v>0</v>
      </c>
      <c r="D107" s="230">
        <f>SUM(D106)</f>
        <v>0</v>
      </c>
      <c r="E107" s="231"/>
    </row>
    <row r="108" spans="1:6" ht="15" customHeight="1" thickBot="1">
      <c r="A108" s="697"/>
      <c r="B108" s="698"/>
      <c r="C108" s="698"/>
      <c r="D108" s="698"/>
      <c r="E108" s="155"/>
    </row>
    <row r="109" spans="1:6" ht="15" customHeight="1">
      <c r="A109" s="681" t="s">
        <v>295</v>
      </c>
      <c r="B109" s="682"/>
      <c r="C109" s="682"/>
      <c r="D109" s="683"/>
      <c r="E109" s="176"/>
    </row>
    <row r="110" spans="1:6" ht="18" customHeight="1">
      <c r="A110" s="163">
        <v>4</v>
      </c>
      <c r="B110" s="232" t="s">
        <v>296</v>
      </c>
      <c r="C110" s="232"/>
      <c r="D110" s="187" t="s">
        <v>35</v>
      </c>
      <c r="E110" s="176"/>
    </row>
    <row r="111" spans="1:6" ht="18" customHeight="1">
      <c r="A111" s="163" t="s">
        <v>164</v>
      </c>
      <c r="B111" s="167" t="s">
        <v>283</v>
      </c>
      <c r="C111" s="167"/>
      <c r="D111" s="170">
        <f>D102</f>
        <v>58.070292039999998</v>
      </c>
      <c r="E111" s="169"/>
    </row>
    <row r="112" spans="1:6" ht="18" customHeight="1">
      <c r="A112" s="221" t="s">
        <v>165</v>
      </c>
      <c r="B112" s="233" t="s">
        <v>297</v>
      </c>
      <c r="C112" s="233"/>
      <c r="D112" s="227">
        <f>C107</f>
        <v>0</v>
      </c>
      <c r="E112" s="228"/>
    </row>
    <row r="113" spans="1:10" ht="18" customHeight="1" thickBot="1">
      <c r="A113" s="188" t="s">
        <v>152</v>
      </c>
      <c r="B113" s="171"/>
      <c r="C113" s="171"/>
      <c r="D113" s="172">
        <f>SUM(D111:D112)</f>
        <v>58.070292039999998</v>
      </c>
      <c r="E113" s="173"/>
    </row>
    <row r="114" spans="1:10" ht="15" customHeight="1" thickBot="1">
      <c r="A114" s="697"/>
      <c r="B114" s="698"/>
      <c r="C114" s="698"/>
      <c r="D114" s="698"/>
      <c r="E114" s="155"/>
    </row>
    <row r="115" spans="1:10" ht="18" customHeight="1" thickBot="1">
      <c r="A115" s="701" t="s">
        <v>298</v>
      </c>
      <c r="B115" s="702"/>
      <c r="C115" s="702"/>
      <c r="D115" s="703"/>
      <c r="E115" s="207"/>
    </row>
    <row r="116" spans="1:10" s="149" customFormat="1" ht="18" customHeight="1">
      <c r="A116" s="194">
        <v>5</v>
      </c>
      <c r="B116" s="205" t="s">
        <v>299</v>
      </c>
      <c r="C116" s="205"/>
      <c r="D116" s="197" t="s">
        <v>35</v>
      </c>
      <c r="E116" s="176"/>
      <c r="F116" s="148"/>
      <c r="G116" s="148"/>
      <c r="H116" s="148"/>
      <c r="I116" s="148"/>
      <c r="J116" s="148"/>
    </row>
    <row r="117" spans="1:10" s="149" customFormat="1" ht="18" customHeight="1">
      <c r="A117" s="163" t="s">
        <v>6</v>
      </c>
      <c r="B117" s="167" t="s">
        <v>80</v>
      </c>
      <c r="C117" s="167"/>
      <c r="D117" s="170">
        <f>'6-CUSTOS UNIFORMES'!F23</f>
        <v>0</v>
      </c>
      <c r="E117" s="169"/>
      <c r="F117" s="148"/>
      <c r="G117" s="148"/>
      <c r="H117" s="148"/>
      <c r="I117" s="148"/>
      <c r="J117" s="148"/>
    </row>
    <row r="118" spans="1:10" s="149" customFormat="1" ht="18" customHeight="1">
      <c r="A118" s="163" t="s">
        <v>8</v>
      </c>
      <c r="B118" s="167" t="s">
        <v>166</v>
      </c>
      <c r="C118" s="167"/>
      <c r="D118" s="170">
        <f>'7-CUSTOS MATERIAIS E EQUIP.'!G64</f>
        <v>0</v>
      </c>
      <c r="E118" s="169"/>
      <c r="F118" s="148"/>
      <c r="G118" s="148"/>
      <c r="H118" s="126"/>
      <c r="I118" s="126"/>
      <c r="J118" s="126"/>
    </row>
    <row r="119" spans="1:10" s="149" customFormat="1" ht="18" customHeight="1">
      <c r="A119" s="163" t="s">
        <v>10</v>
      </c>
      <c r="B119" s="167" t="s">
        <v>300</v>
      </c>
      <c r="C119" s="167"/>
      <c r="D119" s="170">
        <f>'7-CUSTOS MATERIAIS E EQUIP.'!G99</f>
        <v>0</v>
      </c>
      <c r="E119" s="169"/>
      <c r="F119" s="148"/>
      <c r="G119" s="148"/>
      <c r="H119" s="126"/>
      <c r="I119" s="126"/>
      <c r="J119" s="126"/>
    </row>
    <row r="120" spans="1:10" s="149" customFormat="1" ht="18" customHeight="1">
      <c r="A120" s="163" t="s">
        <v>12</v>
      </c>
      <c r="B120" s="373" t="s">
        <v>83</v>
      </c>
      <c r="C120" s="167"/>
      <c r="D120" s="366">
        <v>0</v>
      </c>
      <c r="E120" s="169"/>
      <c r="F120" s="148"/>
      <c r="G120" s="148"/>
      <c r="H120" s="126"/>
      <c r="I120" s="126"/>
      <c r="J120" s="126"/>
    </row>
    <row r="121" spans="1:10" s="149" customFormat="1" ht="18" customHeight="1" thickBot="1">
      <c r="A121" s="188" t="s">
        <v>152</v>
      </c>
      <c r="B121" s="171"/>
      <c r="C121" s="171"/>
      <c r="D121" s="172">
        <f>SUM(D117:D120)</f>
        <v>0</v>
      </c>
      <c r="E121" s="173"/>
      <c r="F121" s="148"/>
      <c r="G121" s="148"/>
      <c r="H121" s="126"/>
      <c r="I121" s="126"/>
      <c r="J121" s="126"/>
    </row>
    <row r="122" spans="1:10" s="149" customFormat="1" ht="15" customHeight="1" thickBot="1">
      <c r="A122" s="699"/>
      <c r="B122" s="700"/>
      <c r="C122" s="700"/>
      <c r="D122" s="700"/>
      <c r="E122" s="155"/>
      <c r="F122" s="148"/>
      <c r="G122" s="148"/>
      <c r="H122" s="148"/>
      <c r="I122" s="148"/>
      <c r="J122" s="148"/>
    </row>
    <row r="123" spans="1:10" s="149" customFormat="1" ht="18" customHeight="1" thickBot="1">
      <c r="A123" s="701" t="s">
        <v>301</v>
      </c>
      <c r="B123" s="702"/>
      <c r="C123" s="702"/>
      <c r="D123" s="703"/>
      <c r="E123" s="207"/>
      <c r="F123" s="148"/>
      <c r="G123" s="148"/>
      <c r="H123" s="148"/>
      <c r="I123" s="148"/>
      <c r="J123" s="148"/>
    </row>
    <row r="124" spans="1:10" s="149" customFormat="1" ht="31.5" customHeight="1">
      <c r="A124" s="717" t="s">
        <v>302</v>
      </c>
      <c r="B124" s="718"/>
      <c r="C124" s="374" t="s">
        <v>432</v>
      </c>
      <c r="D124" s="234" t="str">
        <f>C124</f>
        <v>Lucro presumido</v>
      </c>
      <c r="E124" s="235"/>
      <c r="F124" s="148"/>
      <c r="G124" s="148"/>
      <c r="H124" s="148"/>
      <c r="I124" s="148"/>
      <c r="J124" s="148"/>
    </row>
    <row r="125" spans="1:10" s="149" customFormat="1" ht="18" customHeight="1">
      <c r="A125" s="163">
        <v>6</v>
      </c>
      <c r="B125" s="179" t="s">
        <v>303</v>
      </c>
      <c r="C125" s="179" t="s">
        <v>248</v>
      </c>
      <c r="D125" s="187" t="s">
        <v>35</v>
      </c>
      <c r="E125" s="176"/>
      <c r="F125" s="148"/>
      <c r="G125" s="148"/>
      <c r="H125" s="148"/>
      <c r="I125" s="148"/>
      <c r="J125" s="148"/>
    </row>
    <row r="126" spans="1:10" s="149" customFormat="1" ht="18" customHeight="1">
      <c r="A126" s="212" t="s">
        <v>6</v>
      </c>
      <c r="B126" s="236" t="s">
        <v>304</v>
      </c>
      <c r="C126" s="375">
        <v>0</v>
      </c>
      <c r="D126" s="238">
        <f>$C126*D$144</f>
        <v>0</v>
      </c>
      <c r="E126" s="173"/>
      <c r="F126" s="148"/>
      <c r="G126" s="148"/>
      <c r="H126" s="148"/>
      <c r="I126" s="148"/>
      <c r="J126" s="148"/>
    </row>
    <row r="127" spans="1:10" s="149" customFormat="1" ht="18" customHeight="1">
      <c r="A127" s="212" t="s">
        <v>8</v>
      </c>
      <c r="B127" s="236" t="s">
        <v>99</v>
      </c>
      <c r="C127" s="375">
        <v>0</v>
      </c>
      <c r="D127" s="238">
        <f>$C127*(D$144+D126)</f>
        <v>0</v>
      </c>
      <c r="E127" s="173"/>
      <c r="F127" s="148"/>
      <c r="G127" s="148"/>
      <c r="H127" s="148"/>
      <c r="I127" s="148"/>
      <c r="J127" s="148"/>
    </row>
    <row r="128" spans="1:10" s="149" customFormat="1" ht="18" customHeight="1">
      <c r="A128" s="239" t="s">
        <v>10</v>
      </c>
      <c r="B128" s="240" t="s">
        <v>305</v>
      </c>
      <c r="C128" s="237">
        <f>SUM(C129:C132)</f>
        <v>8.6499999999999994E-2</v>
      </c>
      <c r="D128" s="238">
        <f>SUM(D129:D132)</f>
        <v>405.03997641810622</v>
      </c>
      <c r="E128" s="173"/>
      <c r="F128" s="148"/>
      <c r="G128" s="148"/>
      <c r="H128" s="148"/>
      <c r="I128" s="216"/>
      <c r="J128" s="148"/>
    </row>
    <row r="129" spans="1:10" s="149" customFormat="1" ht="18" customHeight="1">
      <c r="A129" s="212" t="s">
        <v>306</v>
      </c>
      <c r="B129" s="167" t="s">
        <v>307</v>
      </c>
      <c r="C129" s="376" cm="1">
        <f t="array" ref="C129">_xlfn.IFS(C124="Lucro presumido",0.65%,C124="Lucro real",1.65%,C124="Outros",0%)</f>
        <v>6.5000000000000006E-3</v>
      </c>
      <c r="D129" s="241">
        <f>($D$144+$D$126+$D$127)*C129/(1-$C$128)</f>
        <v>30.436530019857688</v>
      </c>
      <c r="E129" s="242"/>
      <c r="F129" s="148"/>
      <c r="G129" s="148"/>
      <c r="H129" s="148"/>
      <c r="I129" s="216"/>
      <c r="J129" s="148"/>
    </row>
    <row r="130" spans="1:10" s="149" customFormat="1" ht="18" customHeight="1">
      <c r="A130" s="212" t="s">
        <v>308</v>
      </c>
      <c r="B130" s="167" t="s">
        <v>309</v>
      </c>
      <c r="C130" s="376" cm="1">
        <f t="array" ref="C130">_xlfn.IFS(C124="Lucro presumido",3%,C124="Lucro real",7.6%,C124="Outros",0%)</f>
        <v>0.03</v>
      </c>
      <c r="D130" s="241">
        <f>($D$144+$D$126+$D$127)*C130/(1-$C$128)</f>
        <v>140.47629239934318</v>
      </c>
      <c r="E130" s="242"/>
      <c r="F130" s="148"/>
      <c r="G130" s="148"/>
      <c r="H130" s="148"/>
      <c r="I130" s="148"/>
      <c r="J130" s="216"/>
    </row>
    <row r="131" spans="1:10" s="149" customFormat="1" ht="18" customHeight="1">
      <c r="A131" s="212" t="s">
        <v>310</v>
      </c>
      <c r="B131" s="167" t="s">
        <v>311</v>
      </c>
      <c r="C131" s="376">
        <v>0.05</v>
      </c>
      <c r="D131" s="241">
        <f>($D$144+$D$126+$D$127)*C131/(1-$C$128)</f>
        <v>234.12715399890533</v>
      </c>
      <c r="E131" s="242"/>
      <c r="F131" s="148"/>
      <c r="G131" s="148"/>
      <c r="H131" s="148"/>
      <c r="I131" s="148"/>
      <c r="J131" s="216"/>
    </row>
    <row r="132" spans="1:10" s="149" customFormat="1" ht="18" customHeight="1">
      <c r="A132" s="243" t="s">
        <v>312</v>
      </c>
      <c r="B132" s="244" t="s">
        <v>313</v>
      </c>
      <c r="C132" s="376">
        <v>0</v>
      </c>
      <c r="D132" s="245">
        <f>($D$144+$D$126+$D$127)*C132/(1-$C$128)</f>
        <v>0</v>
      </c>
      <c r="E132" s="246"/>
      <c r="F132" s="148"/>
      <c r="G132" s="148"/>
      <c r="H132" s="148"/>
      <c r="I132" s="148"/>
      <c r="J132" s="216"/>
    </row>
    <row r="133" spans="1:10" s="149" customFormat="1" ht="18" customHeight="1" thickBot="1">
      <c r="A133" s="188" t="s">
        <v>152</v>
      </c>
      <c r="B133" s="171"/>
      <c r="C133" s="247">
        <f>SUM(C126:C128)</f>
        <v>8.6499999999999994E-2</v>
      </c>
      <c r="D133" s="248">
        <f>SUM(D126:D128)</f>
        <v>405.03997641810622</v>
      </c>
      <c r="E133" s="249"/>
      <c r="F133" s="148"/>
      <c r="G133" s="148"/>
      <c r="H133" s="148"/>
      <c r="I133" s="148"/>
      <c r="J133" s="216"/>
    </row>
    <row r="134" spans="1:10" s="149" customFormat="1" ht="21.75" customHeight="1">
      <c r="A134" s="719" t="s">
        <v>314</v>
      </c>
      <c r="B134" s="720"/>
      <c r="C134" s="720"/>
      <c r="D134" s="720"/>
      <c r="E134" s="250"/>
      <c r="F134" s="148"/>
      <c r="G134" s="148"/>
      <c r="H134" s="148"/>
      <c r="I134" s="148"/>
      <c r="J134" s="216"/>
    </row>
    <row r="135" spans="1:10" s="149" customFormat="1" ht="25.5" customHeight="1">
      <c r="A135" s="689" t="s">
        <v>315</v>
      </c>
      <c r="B135" s="690"/>
      <c r="C135" s="690"/>
      <c r="D135" s="690"/>
      <c r="E135" s="190"/>
      <c r="F135" s="148"/>
      <c r="G135" s="148"/>
      <c r="H135" s="148"/>
      <c r="I135" s="148"/>
      <c r="J135" s="216"/>
    </row>
    <row r="136" spans="1:10" s="149" customFormat="1" ht="15" customHeight="1" thickBot="1">
      <c r="A136" s="699"/>
      <c r="B136" s="700"/>
      <c r="C136" s="700"/>
      <c r="D136" s="700"/>
      <c r="E136" s="155"/>
      <c r="F136" s="148"/>
      <c r="G136" s="148"/>
      <c r="H136" s="148"/>
      <c r="I136" s="148"/>
      <c r="J136" s="148"/>
    </row>
    <row r="137" spans="1:10" s="149" customFormat="1" ht="18" customHeight="1" thickBot="1">
      <c r="A137" s="701" t="s">
        <v>316</v>
      </c>
      <c r="B137" s="702"/>
      <c r="C137" s="702"/>
      <c r="D137" s="702"/>
      <c r="E137" s="207"/>
      <c r="F137" s="148"/>
      <c r="G137" s="148"/>
      <c r="H137" s="148"/>
      <c r="I137" s="148"/>
      <c r="J137" s="148"/>
    </row>
    <row r="138" spans="1:10" s="149" customFormat="1" ht="18" customHeight="1">
      <c r="A138" s="681" t="s">
        <v>317</v>
      </c>
      <c r="B138" s="721"/>
      <c r="C138" s="205"/>
      <c r="D138" s="251" t="s">
        <v>318</v>
      </c>
      <c r="E138" s="176"/>
      <c r="F138" s="148"/>
      <c r="G138" s="148"/>
      <c r="H138" s="148"/>
      <c r="I138" s="148"/>
      <c r="J138" s="216"/>
    </row>
    <row r="139" spans="1:10" s="149" customFormat="1" ht="18" customHeight="1">
      <c r="A139" s="212" t="s">
        <v>6</v>
      </c>
      <c r="B139" s="198" t="s">
        <v>241</v>
      </c>
      <c r="C139" s="198"/>
      <c r="D139" s="252">
        <f>D32</f>
        <v>1837.4</v>
      </c>
      <c r="E139" s="253"/>
      <c r="F139" s="148"/>
      <c r="G139" s="148"/>
      <c r="H139" s="216"/>
      <c r="I139" s="148"/>
      <c r="J139" s="148"/>
    </row>
    <row r="140" spans="1:10" s="149" customFormat="1" ht="18" customHeight="1">
      <c r="A140" s="212" t="s">
        <v>8</v>
      </c>
      <c r="B140" s="198" t="s">
        <v>245</v>
      </c>
      <c r="C140" s="198"/>
      <c r="D140" s="252">
        <f>D77</f>
        <v>2251.3936715199998</v>
      </c>
      <c r="E140" s="253"/>
      <c r="F140" s="148"/>
      <c r="G140" s="148"/>
      <c r="H140" s="148"/>
      <c r="I140" s="148"/>
      <c r="J140" s="216"/>
    </row>
    <row r="141" spans="1:10" s="149" customFormat="1" ht="18" customHeight="1">
      <c r="A141" s="212" t="s">
        <v>10</v>
      </c>
      <c r="B141" s="198" t="s">
        <v>272</v>
      </c>
      <c r="C141" s="198"/>
      <c r="D141" s="252">
        <f>D87</f>
        <v>130.63914</v>
      </c>
      <c r="E141" s="253"/>
      <c r="F141" s="148"/>
      <c r="G141" s="148"/>
      <c r="H141" s="148"/>
      <c r="I141" s="148"/>
      <c r="J141" s="216"/>
    </row>
    <row r="142" spans="1:10" s="149" customFormat="1" ht="18" customHeight="1">
      <c r="A142" s="212" t="s">
        <v>12</v>
      </c>
      <c r="B142" s="198" t="s">
        <v>319</v>
      </c>
      <c r="C142" s="198"/>
      <c r="D142" s="252">
        <f>D113</f>
        <v>58.070292039999998</v>
      </c>
      <c r="E142" s="253"/>
      <c r="F142" s="148"/>
      <c r="G142" s="148"/>
      <c r="H142" s="216"/>
      <c r="I142" s="148"/>
      <c r="J142" s="216"/>
    </row>
    <row r="143" spans="1:10" s="149" customFormat="1" ht="18" customHeight="1">
      <c r="A143" s="212" t="s">
        <v>14</v>
      </c>
      <c r="B143" s="198" t="s">
        <v>298</v>
      </c>
      <c r="C143" s="198"/>
      <c r="D143" s="252">
        <f>D121</f>
        <v>0</v>
      </c>
      <c r="E143" s="253"/>
      <c r="F143" s="148"/>
      <c r="G143" s="148"/>
      <c r="H143" s="216"/>
      <c r="I143" s="148"/>
      <c r="J143" s="216"/>
    </row>
    <row r="144" spans="1:10" s="149" customFormat="1" ht="18" customHeight="1">
      <c r="A144" s="722" t="s">
        <v>320</v>
      </c>
      <c r="B144" s="723"/>
      <c r="C144" s="232"/>
      <c r="D144" s="254">
        <f>SUM(D139:D143)</f>
        <v>4277.5031035599995</v>
      </c>
      <c r="E144" s="249"/>
      <c r="F144" s="148"/>
      <c r="G144" s="148"/>
      <c r="H144" s="148"/>
      <c r="I144" s="148"/>
      <c r="J144" s="148"/>
    </row>
    <row r="145" spans="1:10" s="149" customFormat="1" ht="18" customHeight="1">
      <c r="A145" s="212" t="s">
        <v>17</v>
      </c>
      <c r="B145" s="167" t="s">
        <v>301</v>
      </c>
      <c r="C145" s="167"/>
      <c r="D145" s="252">
        <f>D133</f>
        <v>405.03997641810622</v>
      </c>
      <c r="E145" s="253"/>
      <c r="F145" s="148"/>
      <c r="G145" s="148"/>
      <c r="H145" s="148"/>
      <c r="I145" s="148"/>
      <c r="J145" s="148"/>
    </row>
    <row r="146" spans="1:10" s="149" customFormat="1" ht="18" customHeight="1" thickBot="1">
      <c r="A146" s="724" t="s">
        <v>321</v>
      </c>
      <c r="B146" s="725"/>
      <c r="C146" s="255"/>
      <c r="D146" s="256">
        <f>ROUND(SUM(D144:D145),2)</f>
        <v>4682.54</v>
      </c>
      <c r="E146" s="257"/>
      <c r="F146" s="148"/>
      <c r="G146" s="148"/>
      <c r="H146" s="148"/>
      <c r="I146" s="148"/>
      <c r="J146" s="148"/>
    </row>
    <row r="147" spans="1:10" s="149" customFormat="1" ht="18" customHeight="1">
      <c r="A147" s="148"/>
      <c r="B147" s="148"/>
      <c r="C147" s="148"/>
      <c r="D147" s="148"/>
      <c r="E147" s="148"/>
      <c r="F147" s="148"/>
      <c r="G147" s="148"/>
      <c r="H147" s="148"/>
      <c r="I147" s="148"/>
      <c r="J147" s="148"/>
    </row>
    <row r="148" spans="1:10">
      <c r="C148" s="692"/>
      <c r="D148" s="692"/>
      <c r="E148" s="692"/>
      <c r="F148" s="692"/>
      <c r="G148" s="692"/>
    </row>
    <row r="151" spans="1:10">
      <c r="G151" s="216"/>
    </row>
    <row r="152" spans="1:10">
      <c r="G152" s="216"/>
    </row>
    <row r="153" spans="1:10">
      <c r="G153" s="216"/>
    </row>
    <row r="154" spans="1:10">
      <c r="G154" s="216"/>
    </row>
    <row r="155" spans="1:10">
      <c r="G155" s="216"/>
    </row>
  </sheetData>
  <mergeCells count="65">
    <mergeCell ref="A137:D137"/>
    <mergeCell ref="A138:B138"/>
    <mergeCell ref="A144:B144"/>
    <mergeCell ref="A146:B146"/>
    <mergeCell ref="C148:G148"/>
    <mergeCell ref="A136:D136"/>
    <mergeCell ref="A104:D104"/>
    <mergeCell ref="A107:B107"/>
    <mergeCell ref="A108:D108"/>
    <mergeCell ref="A109:D109"/>
    <mergeCell ref="A114:D114"/>
    <mergeCell ref="A115:D115"/>
    <mergeCell ref="A122:D122"/>
    <mergeCell ref="A123:D123"/>
    <mergeCell ref="A124:B124"/>
    <mergeCell ref="A134:D134"/>
    <mergeCell ref="A135:D135"/>
    <mergeCell ref="A103:D103"/>
    <mergeCell ref="A71:D71"/>
    <mergeCell ref="A72:D72"/>
    <mergeCell ref="A78:D78"/>
    <mergeCell ref="A79:D79"/>
    <mergeCell ref="A88:D88"/>
    <mergeCell ref="A89:D89"/>
    <mergeCell ref="A90:D90"/>
    <mergeCell ref="A91:D91"/>
    <mergeCell ref="A92:D92"/>
    <mergeCell ref="A100:B100"/>
    <mergeCell ref="A102:B102"/>
    <mergeCell ref="A58:D58"/>
    <mergeCell ref="A33:D33"/>
    <mergeCell ref="A35:D35"/>
    <mergeCell ref="A36:D36"/>
    <mergeCell ref="A40:B40"/>
    <mergeCell ref="A41:D41"/>
    <mergeCell ref="A42:D42"/>
    <mergeCell ref="A53:D53"/>
    <mergeCell ref="A54:D54"/>
    <mergeCell ref="A55:D55"/>
    <mergeCell ref="A56:D56"/>
    <mergeCell ref="A57:D57"/>
    <mergeCell ref="A32:B32"/>
    <mergeCell ref="B15:C15"/>
    <mergeCell ref="B16:C16"/>
    <mergeCell ref="B17:C17"/>
    <mergeCell ref="B18:C18"/>
    <mergeCell ref="B19:C19"/>
    <mergeCell ref="B20:C20"/>
    <mergeCell ref="A21:D21"/>
    <mergeCell ref="A22:D22"/>
    <mergeCell ref="A23:D23"/>
    <mergeCell ref="A24:D24"/>
    <mergeCell ref="A26:D26"/>
    <mergeCell ref="B14:C14"/>
    <mergeCell ref="A1:D1"/>
    <mergeCell ref="A2:D2"/>
    <mergeCell ref="F2:K2"/>
    <mergeCell ref="A3:D3"/>
    <mergeCell ref="F3:K8"/>
    <mergeCell ref="A8:D8"/>
    <mergeCell ref="B9:C9"/>
    <mergeCell ref="B10:C10"/>
    <mergeCell ref="B11:C11"/>
    <mergeCell ref="B12:C12"/>
    <mergeCell ref="B13:C13"/>
  </mergeCells>
  <dataValidations count="2">
    <dataValidation type="list" allowBlank="1" showInputMessage="1" showErrorMessage="1" sqref="E124" xr:uid="{A60A09C2-468C-4CB0-8D68-E976FE495D0C}">
      <formula1>"Lucro presumido,Lucro real"</formula1>
    </dataValidation>
    <dataValidation type="list" allowBlank="1" showInputMessage="1" showErrorMessage="1" sqref="C124" xr:uid="{0BB359C7-290C-47AE-8F57-622ACA48B064}">
      <formula1>"Lucro presumido,Lucro real, Outros"</formula1>
    </dataValidation>
  </dataValidations>
  <printOptions horizontalCentered="1"/>
  <pageMargins left="0.25" right="0.25" top="0.75" bottom="0.75" header="0.3" footer="0.3"/>
  <pageSetup paperSize="9" scale="76" fitToHeight="0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80499-19A6-40F3-9983-BAE2FB3526CE}">
  <sheetPr>
    <tabColor theme="4" tint="-0.249977111117893"/>
    <pageSetUpPr fitToPage="1"/>
  </sheetPr>
  <dimension ref="A1:M155"/>
  <sheetViews>
    <sheetView showGridLines="0" view="pageBreakPreview" zoomScale="90" zoomScaleNormal="115" zoomScaleSheetLayoutView="90" workbookViewId="0">
      <selection sqref="A1:D1"/>
    </sheetView>
  </sheetViews>
  <sheetFormatPr defaultColWidth="8.77734375" defaultRowHeight="13.8"/>
  <cols>
    <col min="1" max="1" width="5.21875" style="148" bestFit="1" customWidth="1"/>
    <col min="2" max="2" width="85.21875" style="148" customWidth="1"/>
    <col min="3" max="3" width="13.77734375" style="148" bestFit="1" customWidth="1"/>
    <col min="4" max="4" width="25.77734375" style="148" customWidth="1"/>
    <col min="5" max="5" width="3.44140625" style="148" customWidth="1"/>
    <col min="6" max="6" width="10.5546875" style="148" customWidth="1"/>
    <col min="7" max="7" width="13.77734375" style="148" customWidth="1"/>
    <col min="8" max="8" width="7.5546875" style="148" customWidth="1"/>
    <col min="9" max="9" width="9.21875" style="148" bestFit="1" customWidth="1"/>
    <col min="10" max="10" width="11" style="148" customWidth="1"/>
    <col min="11" max="11" width="17.77734375" style="149" customWidth="1"/>
    <col min="12" max="13" width="13.77734375" style="149" bestFit="1" customWidth="1"/>
    <col min="14" max="16384" width="8.77734375" style="148"/>
  </cols>
  <sheetData>
    <row r="1" spans="1:13" ht="90" customHeight="1" thickBot="1">
      <c r="A1" s="603" t="s">
        <v>206</v>
      </c>
      <c r="B1" s="603"/>
      <c r="C1" s="603"/>
      <c r="D1" s="603"/>
      <c r="E1" s="124"/>
    </row>
    <row r="2" spans="1:13" ht="23.25" customHeight="1">
      <c r="A2" s="637" t="s">
        <v>434</v>
      </c>
      <c r="B2" s="638"/>
      <c r="C2" s="638"/>
      <c r="D2" s="639"/>
      <c r="E2" s="127"/>
      <c r="F2" s="640" t="s">
        <v>223</v>
      </c>
      <c r="G2" s="641"/>
      <c r="H2" s="641"/>
      <c r="I2" s="641"/>
      <c r="J2" s="641"/>
      <c r="K2" s="642"/>
      <c r="L2" s="148"/>
      <c r="M2" s="148"/>
    </row>
    <row r="3" spans="1:13" ht="34.5" customHeight="1">
      <c r="A3" s="643" t="s">
        <v>322</v>
      </c>
      <c r="B3" s="644"/>
      <c r="C3" s="644"/>
      <c r="D3" s="645"/>
      <c r="E3" s="150"/>
      <c r="F3" s="646" t="s">
        <v>224</v>
      </c>
      <c r="G3" s="647"/>
      <c r="H3" s="647"/>
      <c r="I3" s="647"/>
      <c r="J3" s="647"/>
      <c r="K3" s="648"/>
      <c r="L3" s="148"/>
      <c r="M3" s="148"/>
    </row>
    <row r="4" spans="1:13" ht="15" customHeight="1">
      <c r="A4" s="316" t="str">
        <f>'1-RESUMO PROPOSTA'!$B$4</f>
        <v xml:space="preserve">Número do  Processo: CRQ-IV 18/26     </v>
      </c>
      <c r="B4" s="128"/>
      <c r="C4" s="128"/>
      <c r="D4" s="317"/>
      <c r="E4" s="151"/>
      <c r="F4" s="646"/>
      <c r="G4" s="647"/>
      <c r="H4" s="647"/>
      <c r="I4" s="647"/>
      <c r="J4" s="647"/>
      <c r="K4" s="648"/>
      <c r="L4" s="148"/>
      <c r="M4" s="148"/>
    </row>
    <row r="5" spans="1:13" ht="15" customHeight="1">
      <c r="A5" s="398" t="str">
        <f>'1-RESUMO PROPOSTA'!$B$5</f>
        <v xml:space="preserve">Número da Licitação: Pregão Eletrônico nº 90006/2026      </v>
      </c>
      <c r="B5" s="129"/>
      <c r="C5" s="129"/>
      <c r="D5" s="399"/>
      <c r="E5" s="151"/>
      <c r="F5" s="646"/>
      <c r="G5" s="647"/>
      <c r="H5" s="647"/>
      <c r="I5" s="647"/>
      <c r="J5" s="647"/>
      <c r="K5" s="648"/>
      <c r="L5" s="148"/>
      <c r="M5" s="148"/>
    </row>
    <row r="6" spans="1:13" ht="15" customHeight="1">
      <c r="A6" s="316" t="str">
        <f>CONCATENATE("Razão Social:  ",'1-RESUMO PROPOSTA'!C$8)</f>
        <v xml:space="preserve">Razão Social:  </v>
      </c>
      <c r="B6" s="128"/>
      <c r="C6" s="128"/>
      <c r="D6" s="317"/>
      <c r="E6" s="151"/>
      <c r="F6" s="646"/>
      <c r="G6" s="647"/>
      <c r="H6" s="647"/>
      <c r="I6" s="647"/>
      <c r="J6" s="647"/>
      <c r="K6" s="648"/>
      <c r="L6" s="148"/>
      <c r="M6" s="148"/>
    </row>
    <row r="7" spans="1:13" ht="21.75" customHeight="1">
      <c r="A7" s="398" t="str">
        <f>CONCATENATE("CNPJ:  ",'1-RESUMO PROPOSTA'!C9)</f>
        <v xml:space="preserve">CNPJ:  </v>
      </c>
      <c r="B7" s="129"/>
      <c r="C7" s="129"/>
      <c r="D7" s="399"/>
      <c r="E7" s="152"/>
      <c r="F7" s="646"/>
      <c r="G7" s="647"/>
      <c r="H7" s="647"/>
      <c r="I7" s="647"/>
      <c r="J7" s="647"/>
      <c r="K7" s="648"/>
      <c r="L7" s="148"/>
      <c r="M7" s="148"/>
    </row>
    <row r="8" spans="1:13" ht="41.25" customHeight="1" thickBot="1">
      <c r="A8" s="726" t="s">
        <v>329</v>
      </c>
      <c r="B8" s="727"/>
      <c r="C8" s="727"/>
      <c r="D8" s="728"/>
      <c r="E8" s="153"/>
      <c r="F8" s="649"/>
      <c r="G8" s="650"/>
      <c r="H8" s="650"/>
      <c r="I8" s="650"/>
      <c r="J8" s="650"/>
      <c r="K8" s="651"/>
      <c r="L8" s="148"/>
      <c r="M8" s="148"/>
    </row>
    <row r="9" spans="1:13" ht="19.5" customHeight="1">
      <c r="A9" s="212" t="s">
        <v>6</v>
      </c>
      <c r="B9" s="636" t="s">
        <v>225</v>
      </c>
      <c r="C9" s="636"/>
      <c r="D9" s="402" t="s">
        <v>26</v>
      </c>
      <c r="F9" s="149"/>
      <c r="G9" s="149"/>
      <c r="H9" s="149"/>
      <c r="K9" s="148"/>
      <c r="L9" s="148"/>
      <c r="M9" s="148"/>
    </row>
    <row r="10" spans="1:13" ht="19.5" customHeight="1">
      <c r="A10" s="212" t="s">
        <v>8</v>
      </c>
      <c r="B10" s="636" t="s">
        <v>226</v>
      </c>
      <c r="C10" s="636"/>
      <c r="D10" s="403" t="s">
        <v>227</v>
      </c>
      <c r="E10" s="155"/>
      <c r="F10" s="149"/>
      <c r="G10" s="149"/>
      <c r="H10" s="149"/>
      <c r="K10" s="148"/>
      <c r="L10" s="148"/>
      <c r="M10" s="148"/>
    </row>
    <row r="11" spans="1:13" ht="19.5" customHeight="1">
      <c r="A11" s="212" t="s">
        <v>10</v>
      </c>
      <c r="B11" s="636" t="s">
        <v>228</v>
      </c>
      <c r="C11" s="636"/>
      <c r="D11" s="404">
        <v>25194</v>
      </c>
      <c r="E11" s="155"/>
      <c r="F11" s="149"/>
      <c r="G11" s="149"/>
      <c r="H11" s="149"/>
      <c r="K11" s="148"/>
      <c r="L11" s="148"/>
      <c r="M11" s="148"/>
    </row>
    <row r="12" spans="1:13" ht="19.5" customHeight="1">
      <c r="A12" s="212" t="s">
        <v>12</v>
      </c>
      <c r="B12" s="636" t="s">
        <v>171</v>
      </c>
      <c r="C12" s="636"/>
      <c r="D12" s="403" t="s">
        <v>327</v>
      </c>
      <c r="E12" s="155"/>
      <c r="F12" s="149"/>
      <c r="H12" s="149"/>
      <c r="K12" s="148"/>
      <c r="L12" s="148"/>
      <c r="M12" s="148"/>
    </row>
    <row r="13" spans="1:13" ht="19.5" customHeight="1">
      <c r="A13" s="212" t="s">
        <v>14</v>
      </c>
      <c r="B13" s="655" t="s">
        <v>379</v>
      </c>
      <c r="C13" s="656"/>
      <c r="D13" s="403" t="s">
        <v>378</v>
      </c>
      <c r="E13" s="155"/>
      <c r="F13" s="149"/>
      <c r="H13" s="149"/>
      <c r="K13" s="148"/>
      <c r="L13" s="148"/>
      <c r="M13" s="148"/>
    </row>
    <row r="14" spans="1:13" ht="19.5" customHeight="1">
      <c r="A14" s="212" t="s">
        <v>17</v>
      </c>
      <c r="B14" s="636" t="s">
        <v>229</v>
      </c>
      <c r="C14" s="636"/>
      <c r="D14" s="403" t="s">
        <v>330</v>
      </c>
      <c r="E14" s="155"/>
      <c r="F14" s="149"/>
      <c r="G14" s="149"/>
      <c r="H14" s="149"/>
      <c r="K14" s="148"/>
      <c r="L14" s="148"/>
      <c r="M14" s="148"/>
    </row>
    <row r="15" spans="1:13" ht="27" customHeight="1">
      <c r="A15" s="212" t="s">
        <v>19</v>
      </c>
      <c r="B15" s="636" t="s">
        <v>230</v>
      </c>
      <c r="C15" s="655"/>
      <c r="D15" s="412" t="s">
        <v>338</v>
      </c>
      <c r="E15" s="156"/>
      <c r="F15" s="149"/>
      <c r="G15" s="149"/>
      <c r="H15" s="149"/>
      <c r="K15" s="148"/>
      <c r="L15" s="148"/>
      <c r="M15" s="148"/>
    </row>
    <row r="16" spans="1:13" ht="19.5" customHeight="1">
      <c r="A16" s="406" t="s">
        <v>135</v>
      </c>
      <c r="B16" s="659" t="s">
        <v>231</v>
      </c>
      <c r="C16" s="660"/>
      <c r="D16" s="407">
        <v>1837.4</v>
      </c>
      <c r="E16" s="157"/>
      <c r="F16" s="149"/>
      <c r="G16" s="149"/>
      <c r="H16" s="149"/>
      <c r="K16" s="148"/>
      <c r="L16" s="148"/>
      <c r="M16" s="148"/>
    </row>
    <row r="17" spans="1:13" ht="25.5" customHeight="1">
      <c r="A17" s="212" t="s">
        <v>32</v>
      </c>
      <c r="B17" s="636" t="s">
        <v>331</v>
      </c>
      <c r="C17" s="655"/>
      <c r="D17" s="408" t="s">
        <v>332</v>
      </c>
      <c r="E17" s="156"/>
      <c r="F17" s="149"/>
      <c r="G17" s="149"/>
      <c r="H17" s="149"/>
      <c r="K17" s="148"/>
      <c r="L17" s="148"/>
      <c r="M17" s="148"/>
    </row>
    <row r="18" spans="1:13" ht="19.5" customHeight="1">
      <c r="A18" s="212" t="s">
        <v>232</v>
      </c>
      <c r="B18" s="636" t="s">
        <v>233</v>
      </c>
      <c r="C18" s="655"/>
      <c r="D18" s="409">
        <v>46023</v>
      </c>
      <c r="E18" s="155"/>
      <c r="F18" s="149"/>
      <c r="G18" s="149"/>
      <c r="H18" s="149"/>
      <c r="K18" s="148"/>
      <c r="L18" s="148"/>
      <c r="M18" s="148"/>
    </row>
    <row r="19" spans="1:13" ht="19.5" customHeight="1">
      <c r="A19" s="212" t="s">
        <v>328</v>
      </c>
      <c r="B19" s="636" t="s">
        <v>235</v>
      </c>
      <c r="C19" s="636"/>
      <c r="D19" s="402" t="s">
        <v>236</v>
      </c>
      <c r="E19" s="155"/>
      <c r="F19" s="149"/>
      <c r="G19" s="149"/>
      <c r="H19" s="149"/>
      <c r="K19" s="148"/>
      <c r="L19" s="148"/>
      <c r="M19" s="148"/>
    </row>
    <row r="20" spans="1:13" ht="19.5" customHeight="1" thickBot="1">
      <c r="A20" s="410" t="s">
        <v>234</v>
      </c>
      <c r="B20" s="661" t="s">
        <v>237</v>
      </c>
      <c r="C20" s="661"/>
      <c r="D20" s="411" t="s">
        <v>238</v>
      </c>
      <c r="E20" s="155"/>
      <c r="F20" s="149"/>
      <c r="G20" s="149"/>
      <c r="H20" s="149"/>
      <c r="K20" s="148"/>
      <c r="L20" s="148"/>
      <c r="M20" s="148"/>
    </row>
    <row r="21" spans="1:13" ht="3" customHeight="1">
      <c r="A21" s="662"/>
      <c r="B21" s="662"/>
      <c r="C21" s="662"/>
      <c r="D21" s="662"/>
      <c r="E21" s="158"/>
      <c r="I21" s="149"/>
      <c r="J21" s="149"/>
      <c r="L21" s="148"/>
      <c r="M21" s="148"/>
    </row>
    <row r="22" spans="1:13" ht="11.25" customHeight="1" thickBot="1">
      <c r="A22" s="663"/>
      <c r="B22" s="663"/>
      <c r="C22" s="663"/>
      <c r="D22" s="663"/>
      <c r="E22" s="159"/>
      <c r="I22" s="149"/>
      <c r="J22" s="149"/>
      <c r="L22" s="148"/>
      <c r="M22" s="148"/>
    </row>
    <row r="23" spans="1:13" ht="14.4">
      <c r="A23" s="664" t="s">
        <v>239</v>
      </c>
      <c r="B23" s="665"/>
      <c r="C23" s="665"/>
      <c r="D23" s="666"/>
      <c r="E23" s="160"/>
      <c r="I23" s="149"/>
      <c r="J23" s="149"/>
      <c r="L23" s="148"/>
      <c r="M23" s="148"/>
    </row>
    <row r="24" spans="1:13" ht="18" customHeight="1" thickBot="1">
      <c r="A24" s="667" t="s">
        <v>240</v>
      </c>
      <c r="B24" s="668"/>
      <c r="C24" s="668"/>
      <c r="D24" s="669"/>
      <c r="E24" s="161"/>
      <c r="I24" s="149"/>
      <c r="J24" s="149"/>
      <c r="L24" s="148"/>
      <c r="M24" s="148"/>
    </row>
    <row r="25" spans="1:13" ht="13.5" customHeight="1" thickBot="1">
      <c r="A25" s="149"/>
      <c r="B25" s="149"/>
      <c r="C25" s="149"/>
      <c r="D25" s="149"/>
      <c r="E25" s="149"/>
      <c r="F25" s="149"/>
      <c r="G25" s="149"/>
      <c r="H25" s="149"/>
      <c r="I25" s="149"/>
      <c r="J25" s="149"/>
      <c r="L25" s="148"/>
      <c r="M25" s="148"/>
    </row>
    <row r="26" spans="1:13" ht="18" customHeight="1">
      <c r="A26" s="670" t="s">
        <v>241</v>
      </c>
      <c r="B26" s="671"/>
      <c r="C26" s="671"/>
      <c r="D26" s="672"/>
      <c r="E26" s="162"/>
    </row>
    <row r="27" spans="1:13" ht="18" customHeight="1">
      <c r="A27" s="163">
        <v>1</v>
      </c>
      <c r="B27" s="164" t="s">
        <v>242</v>
      </c>
      <c r="C27" s="164"/>
      <c r="D27" s="165" t="s">
        <v>35</v>
      </c>
      <c r="E27" s="166"/>
    </row>
    <row r="28" spans="1:13" ht="18" customHeight="1">
      <c r="A28" s="163" t="s">
        <v>6</v>
      </c>
      <c r="B28" s="167" t="s">
        <v>243</v>
      </c>
      <c r="C28" s="167"/>
      <c r="D28" s="168">
        <f>D16</f>
        <v>1837.4</v>
      </c>
      <c r="E28" s="169"/>
    </row>
    <row r="29" spans="1:13" ht="18" customHeight="1">
      <c r="A29" s="163" t="s">
        <v>8</v>
      </c>
      <c r="B29" s="167" t="s">
        <v>169</v>
      </c>
      <c r="C29" s="167"/>
      <c r="D29" s="366"/>
      <c r="E29" s="169"/>
    </row>
    <row r="30" spans="1:13" ht="18" customHeight="1">
      <c r="A30" s="163" t="s">
        <v>10</v>
      </c>
      <c r="B30" s="329" t="s">
        <v>368</v>
      </c>
      <c r="C30" s="377">
        <v>1621</v>
      </c>
      <c r="D30" s="366">
        <f>+C30*0.4</f>
        <v>648.40000000000009</v>
      </c>
      <c r="E30" s="169"/>
    </row>
    <row r="31" spans="1:13" ht="18" customHeight="1">
      <c r="A31" s="163" t="s">
        <v>12</v>
      </c>
      <c r="B31" s="365" t="s">
        <v>333</v>
      </c>
      <c r="C31" s="167"/>
      <c r="D31" s="366"/>
      <c r="E31" s="169"/>
    </row>
    <row r="32" spans="1:13" ht="18" customHeight="1" thickBot="1">
      <c r="A32" s="657" t="s">
        <v>244</v>
      </c>
      <c r="B32" s="658"/>
      <c r="C32" s="171"/>
      <c r="D32" s="172">
        <f>SUM(D28:D31)</f>
        <v>2485.8000000000002</v>
      </c>
      <c r="E32" s="173"/>
    </row>
    <row r="33" spans="1:5" ht="13.5" customHeight="1">
      <c r="A33" s="676"/>
      <c r="B33" s="677"/>
      <c r="C33" s="677"/>
      <c r="D33" s="677"/>
      <c r="E33" s="174"/>
    </row>
    <row r="34" spans="1:5" ht="11.25" customHeight="1" thickBot="1">
      <c r="A34" s="175"/>
      <c r="B34" s="175"/>
      <c r="C34" s="175"/>
      <c r="D34" s="175"/>
      <c r="E34" s="175"/>
    </row>
    <row r="35" spans="1:5" ht="18" customHeight="1" thickBot="1">
      <c r="A35" s="678" t="s">
        <v>245</v>
      </c>
      <c r="B35" s="679"/>
      <c r="C35" s="679"/>
      <c r="D35" s="680"/>
      <c r="E35" s="162"/>
    </row>
    <row r="36" spans="1:5" ht="18" customHeight="1">
      <c r="A36" s="681" t="s">
        <v>246</v>
      </c>
      <c r="B36" s="682"/>
      <c r="C36" s="682"/>
      <c r="D36" s="683"/>
      <c r="E36" s="176"/>
    </row>
    <row r="37" spans="1:5" ht="18" customHeight="1">
      <c r="A37" s="177" t="s">
        <v>161</v>
      </c>
      <c r="B37" s="178" t="s">
        <v>247</v>
      </c>
      <c r="C37" s="179" t="s">
        <v>248</v>
      </c>
      <c r="D37" s="180" t="s">
        <v>35</v>
      </c>
      <c r="E37" s="181"/>
    </row>
    <row r="38" spans="1:5" ht="18" customHeight="1">
      <c r="A38" s="163" t="s">
        <v>6</v>
      </c>
      <c r="B38" s="167" t="s">
        <v>249</v>
      </c>
      <c r="C38" s="182">
        <f>(1/12)</f>
        <v>8.3333333333333329E-2</v>
      </c>
      <c r="D38" s="170">
        <f>C38*$D$32</f>
        <v>207.15</v>
      </c>
      <c r="E38" s="169"/>
    </row>
    <row r="39" spans="1:5" ht="18" customHeight="1">
      <c r="A39" s="163" t="s">
        <v>8</v>
      </c>
      <c r="B39" s="167" t="s">
        <v>250</v>
      </c>
      <c r="C39" s="183">
        <v>0.1111</v>
      </c>
      <c r="D39" s="170">
        <f>C39*$D$32</f>
        <v>276.17238000000003</v>
      </c>
      <c r="E39" s="169"/>
    </row>
    <row r="40" spans="1:5" ht="18" customHeight="1" thickBot="1">
      <c r="A40" s="657" t="s">
        <v>251</v>
      </c>
      <c r="B40" s="658"/>
      <c r="C40" s="184">
        <f>SUM(C38:C39)</f>
        <v>0.19443333333333335</v>
      </c>
      <c r="D40" s="172">
        <f>SUM(D38:D39)</f>
        <v>483.32238000000007</v>
      </c>
      <c r="E40" s="173"/>
    </row>
    <row r="41" spans="1:5" ht="15" customHeight="1" thickBot="1">
      <c r="A41" s="684"/>
      <c r="B41" s="685"/>
      <c r="C41" s="685"/>
      <c r="D41" s="685"/>
      <c r="E41" s="185"/>
    </row>
    <row r="42" spans="1:5" ht="18.75" customHeight="1">
      <c r="A42" s="686" t="s">
        <v>252</v>
      </c>
      <c r="B42" s="687"/>
      <c r="C42" s="687"/>
      <c r="D42" s="688"/>
      <c r="E42" s="186"/>
    </row>
    <row r="43" spans="1:5" ht="18" customHeight="1">
      <c r="A43" s="163" t="s">
        <v>162</v>
      </c>
      <c r="B43" s="179" t="s">
        <v>167</v>
      </c>
      <c r="C43" s="179" t="s">
        <v>248</v>
      </c>
      <c r="D43" s="187" t="s">
        <v>35</v>
      </c>
      <c r="E43" s="176"/>
    </row>
    <row r="44" spans="1:5" ht="18" customHeight="1">
      <c r="A44" s="163" t="s">
        <v>6</v>
      </c>
      <c r="B44" s="167" t="s">
        <v>45</v>
      </c>
      <c r="C44" s="367">
        <v>0.2</v>
      </c>
      <c r="D44" s="170">
        <f>C44*($D$32+$D$40)</f>
        <v>593.82447600000012</v>
      </c>
      <c r="E44" s="169"/>
    </row>
    <row r="45" spans="1:5" ht="18" customHeight="1">
      <c r="A45" s="163" t="s">
        <v>8</v>
      </c>
      <c r="B45" s="167" t="s">
        <v>253</v>
      </c>
      <c r="C45" s="367">
        <v>2.5000000000000001E-2</v>
      </c>
      <c r="D45" s="170">
        <f t="shared" ref="D45:D51" si="0">C45*($D$32+$D$40)</f>
        <v>74.228059500000015</v>
      </c>
      <c r="E45" s="169"/>
    </row>
    <row r="46" spans="1:5" ht="18" customHeight="1">
      <c r="A46" s="163" t="s">
        <v>10</v>
      </c>
      <c r="B46" s="167" t="s">
        <v>254</v>
      </c>
      <c r="C46" s="368">
        <v>0.03</v>
      </c>
      <c r="D46" s="170">
        <f t="shared" si="0"/>
        <v>89.073671400000009</v>
      </c>
      <c r="E46" s="169"/>
    </row>
    <row r="47" spans="1:5" ht="18" customHeight="1">
      <c r="A47" s="163" t="s">
        <v>12</v>
      </c>
      <c r="B47" s="167" t="s">
        <v>255</v>
      </c>
      <c r="C47" s="367">
        <v>1.4999999999999999E-2</v>
      </c>
      <c r="D47" s="170">
        <f t="shared" si="0"/>
        <v>44.536835700000005</v>
      </c>
      <c r="E47" s="169"/>
    </row>
    <row r="48" spans="1:5" ht="18" customHeight="1">
      <c r="A48" s="163" t="s">
        <v>14</v>
      </c>
      <c r="B48" s="167" t="s">
        <v>256</v>
      </c>
      <c r="C48" s="367">
        <v>0.01</v>
      </c>
      <c r="D48" s="170">
        <f t="shared" si="0"/>
        <v>29.691223800000003</v>
      </c>
      <c r="E48" s="169"/>
    </row>
    <row r="49" spans="1:13" ht="18" customHeight="1">
      <c r="A49" s="163" t="s">
        <v>17</v>
      </c>
      <c r="B49" s="167" t="s">
        <v>52</v>
      </c>
      <c r="C49" s="367">
        <v>6.0000000000000001E-3</v>
      </c>
      <c r="D49" s="170">
        <f t="shared" si="0"/>
        <v>17.814734280000003</v>
      </c>
      <c r="E49" s="169"/>
    </row>
    <row r="50" spans="1:13" ht="18" customHeight="1">
      <c r="A50" s="163" t="s">
        <v>19</v>
      </c>
      <c r="B50" s="167" t="s">
        <v>48</v>
      </c>
      <c r="C50" s="367">
        <v>2E-3</v>
      </c>
      <c r="D50" s="170">
        <f t="shared" si="0"/>
        <v>5.9382447600000008</v>
      </c>
      <c r="E50" s="169"/>
    </row>
    <row r="51" spans="1:13" ht="18" customHeight="1">
      <c r="A51" s="163" t="s">
        <v>135</v>
      </c>
      <c r="B51" s="167" t="s">
        <v>50</v>
      </c>
      <c r="C51" s="367">
        <v>0.08</v>
      </c>
      <c r="D51" s="170">
        <f t="shared" si="0"/>
        <v>237.52979040000002</v>
      </c>
      <c r="E51" s="169"/>
    </row>
    <row r="52" spans="1:13" ht="18" customHeight="1" thickBot="1">
      <c r="A52" s="188" t="s">
        <v>152</v>
      </c>
      <c r="B52" s="171"/>
      <c r="C52" s="189">
        <f>SUM(C44:C51)</f>
        <v>0.36800000000000005</v>
      </c>
      <c r="D52" s="172">
        <f>SUM(D44:D51)</f>
        <v>1092.63703584</v>
      </c>
      <c r="E52" s="173"/>
    </row>
    <row r="53" spans="1:13" ht="33" customHeight="1">
      <c r="A53" s="689" t="s">
        <v>257</v>
      </c>
      <c r="B53" s="690"/>
      <c r="C53" s="690"/>
      <c r="D53" s="690"/>
      <c r="E53" s="190"/>
    </row>
    <row r="54" spans="1:13" ht="24.75" customHeight="1">
      <c r="A54" s="691" t="s">
        <v>258</v>
      </c>
      <c r="B54" s="692"/>
      <c r="C54" s="692"/>
      <c r="D54" s="692"/>
      <c r="E54" s="191"/>
    </row>
    <row r="55" spans="1:13" ht="36" customHeight="1">
      <c r="A55" s="693" t="s">
        <v>259</v>
      </c>
      <c r="B55" s="694"/>
      <c r="C55" s="694"/>
      <c r="D55" s="694"/>
      <c r="E55" s="192"/>
    </row>
    <row r="56" spans="1:13" ht="25.5" customHeight="1">
      <c r="A56" s="691" t="s">
        <v>260</v>
      </c>
      <c r="B56" s="692"/>
      <c r="C56" s="692"/>
      <c r="D56" s="692"/>
      <c r="E56" s="191"/>
    </row>
    <row r="57" spans="1:13" ht="12.75" customHeight="1" thickBot="1">
      <c r="A57" s="695"/>
      <c r="B57" s="696"/>
      <c r="C57" s="696"/>
      <c r="D57" s="696"/>
      <c r="E57" s="155"/>
    </row>
    <row r="58" spans="1:13" ht="18" customHeight="1" thickBot="1">
      <c r="A58" s="673" t="s">
        <v>261</v>
      </c>
      <c r="B58" s="674"/>
      <c r="C58" s="674"/>
      <c r="D58" s="675"/>
      <c r="E58" s="193"/>
    </row>
    <row r="59" spans="1:13" ht="18" customHeight="1">
      <c r="A59" s="194" t="s">
        <v>163</v>
      </c>
      <c r="B59" s="195" t="s">
        <v>262</v>
      </c>
      <c r="C59" s="196" t="s">
        <v>263</v>
      </c>
      <c r="D59" s="197" t="s">
        <v>35</v>
      </c>
      <c r="E59" s="176"/>
    </row>
    <row r="60" spans="1:13" ht="18" customHeight="1">
      <c r="A60" s="163" t="s">
        <v>6</v>
      </c>
      <c r="B60" s="198" t="s">
        <v>264</v>
      </c>
      <c r="C60" s="154">
        <f>'5-BENEFICIOS'!$C$14</f>
        <v>22</v>
      </c>
      <c r="D60" s="199">
        <f>'5-BENEFICIOS'!C22</f>
        <v>0</v>
      </c>
      <c r="E60" s="200"/>
      <c r="F60" s="155"/>
      <c r="J60" s="149"/>
      <c r="M60" s="148"/>
    </row>
    <row r="61" spans="1:13" ht="18" customHeight="1">
      <c r="A61" s="163" t="s">
        <v>8</v>
      </c>
      <c r="B61" s="167" t="s">
        <v>265</v>
      </c>
      <c r="C61" s="154">
        <f>'5-BENEFICIOS'!$C$35</f>
        <v>22</v>
      </c>
      <c r="D61" s="170">
        <f>'5-BENEFICIOS'!C39</f>
        <v>447.48</v>
      </c>
      <c r="E61" s="169"/>
    </row>
    <row r="62" spans="1:13" ht="18" customHeight="1">
      <c r="A62" s="163" t="s">
        <v>10</v>
      </c>
      <c r="B62" s="167" t="s">
        <v>266</v>
      </c>
      <c r="C62" s="154" t="s">
        <v>26</v>
      </c>
      <c r="D62" s="170" cm="1">
        <f t="array" ref="D62:E62">'5-BENEFICIOS'!C30:D30</f>
        <v>151.91</v>
      </c>
      <c r="E62" s="169">
        <v>0</v>
      </c>
      <c r="F62" s="155"/>
      <c r="L62" s="325" t="s">
        <v>134</v>
      </c>
    </row>
    <row r="63" spans="1:13" ht="18" customHeight="1">
      <c r="A63" s="163" t="s">
        <v>12</v>
      </c>
      <c r="B63" s="167" t="s">
        <v>267</v>
      </c>
      <c r="C63" s="154" t="s">
        <v>26</v>
      </c>
      <c r="D63" s="170">
        <v>37.090000000000003</v>
      </c>
      <c r="E63" s="169"/>
    </row>
    <row r="64" spans="1:13" ht="18" customHeight="1">
      <c r="A64" s="163" t="s">
        <v>14</v>
      </c>
      <c r="B64" s="167" t="s">
        <v>268</v>
      </c>
      <c r="C64" s="154" t="s">
        <v>26</v>
      </c>
      <c r="D64" s="366">
        <v>0</v>
      </c>
      <c r="E64" s="169"/>
    </row>
    <row r="65" spans="1:13" ht="18" customHeight="1">
      <c r="A65" s="163" t="s">
        <v>17</v>
      </c>
      <c r="B65" s="167" t="s">
        <v>269</v>
      </c>
      <c r="C65" s="154" t="s">
        <v>26</v>
      </c>
      <c r="D65" s="366">
        <v>0</v>
      </c>
      <c r="E65" s="169"/>
    </row>
    <row r="66" spans="1:13" ht="18" customHeight="1">
      <c r="A66" s="201" t="s">
        <v>19</v>
      </c>
      <c r="B66" s="202" t="s">
        <v>369</v>
      </c>
      <c r="C66" s="154" t="s">
        <v>26</v>
      </c>
      <c r="D66" s="170">
        <f>'5-BENEFICIOS'!C43</f>
        <v>315</v>
      </c>
      <c r="E66" s="169"/>
    </row>
    <row r="67" spans="1:13" ht="18" customHeight="1">
      <c r="A67" s="201" t="s">
        <v>135</v>
      </c>
      <c r="B67" s="202" t="s">
        <v>370</v>
      </c>
      <c r="C67" s="203" t="s">
        <v>26</v>
      </c>
      <c r="D67" s="204">
        <f>'5-BENEFICIOS'!D42</f>
        <v>29.7</v>
      </c>
      <c r="E67" s="169"/>
    </row>
    <row r="68" spans="1:13" ht="18" customHeight="1">
      <c r="A68" s="201" t="s">
        <v>32</v>
      </c>
      <c r="B68" s="202" t="s">
        <v>371</v>
      </c>
      <c r="C68" s="203" t="s">
        <v>26</v>
      </c>
      <c r="D68" s="204">
        <f>'5-BENEFICIOS'!D45</f>
        <v>105.33</v>
      </c>
      <c r="E68" s="169"/>
    </row>
    <row r="69" spans="1:13" ht="18" customHeight="1">
      <c r="A69" s="201" t="s">
        <v>232</v>
      </c>
      <c r="B69" s="202" t="str">
        <f>CONCATENATE("Outros benefícios - ",'5-BENEFICIOS'!B46)</f>
        <v>Outros benefícios - OUTROS BENEFICIOS (ESPECIFICAR)</v>
      </c>
      <c r="C69" s="203" t="s">
        <v>26</v>
      </c>
      <c r="D69" s="204">
        <f>'5-BENEFICIOS'!C46</f>
        <v>0</v>
      </c>
      <c r="E69" s="169"/>
    </row>
    <row r="70" spans="1:13" ht="18" customHeight="1" thickBot="1">
      <c r="A70" s="188" t="s">
        <v>152</v>
      </c>
      <c r="B70" s="171"/>
      <c r="C70" s="171"/>
      <c r="D70" s="172">
        <f>SUM(D60:D68)</f>
        <v>1086.51</v>
      </c>
      <c r="E70" s="173"/>
    </row>
    <row r="71" spans="1:13" ht="15" customHeight="1" thickBot="1">
      <c r="A71" s="699"/>
      <c r="B71" s="700"/>
      <c r="C71" s="700"/>
      <c r="D71" s="700"/>
      <c r="E71" s="155"/>
    </row>
    <row r="72" spans="1:13" ht="18" customHeight="1" thickBot="1">
      <c r="A72" s="673" t="s">
        <v>270</v>
      </c>
      <c r="B72" s="674"/>
      <c r="C72" s="674"/>
      <c r="D72" s="675"/>
      <c r="E72" s="193"/>
    </row>
    <row r="73" spans="1:13" ht="18" customHeight="1">
      <c r="A73" s="194">
        <v>2</v>
      </c>
      <c r="B73" s="205" t="s">
        <v>271</v>
      </c>
      <c r="C73" s="205"/>
      <c r="D73" s="197" t="s">
        <v>35</v>
      </c>
      <c r="E73" s="176"/>
    </row>
    <row r="74" spans="1:13" ht="18" customHeight="1">
      <c r="A74" s="163" t="s">
        <v>161</v>
      </c>
      <c r="B74" s="198" t="s">
        <v>247</v>
      </c>
      <c r="C74" s="198"/>
      <c r="D74" s="170">
        <f>D40</f>
        <v>483.32238000000007</v>
      </c>
      <c r="E74" s="169"/>
    </row>
    <row r="75" spans="1:13" ht="18" customHeight="1">
      <c r="A75" s="163" t="s">
        <v>162</v>
      </c>
      <c r="B75" s="167" t="s">
        <v>167</v>
      </c>
      <c r="C75" s="167"/>
      <c r="D75" s="170">
        <f>D52</f>
        <v>1092.63703584</v>
      </c>
      <c r="E75" s="169"/>
    </row>
    <row r="76" spans="1:13" ht="18" customHeight="1">
      <c r="A76" s="163" t="s">
        <v>163</v>
      </c>
      <c r="B76" s="167" t="s">
        <v>262</v>
      </c>
      <c r="C76" s="167"/>
      <c r="D76" s="170">
        <f>D70</f>
        <v>1086.51</v>
      </c>
      <c r="E76" s="169"/>
    </row>
    <row r="77" spans="1:13" ht="18" customHeight="1" thickBot="1">
      <c r="A77" s="188" t="s">
        <v>152</v>
      </c>
      <c r="B77" s="171"/>
      <c r="C77" s="171"/>
      <c r="D77" s="172">
        <f>SUM(D74:D76)</f>
        <v>2662.4694158399998</v>
      </c>
      <c r="E77" s="173"/>
    </row>
    <row r="78" spans="1:13" ht="15" customHeight="1" thickBot="1">
      <c r="A78" s="697"/>
      <c r="B78" s="698"/>
      <c r="C78" s="698"/>
      <c r="D78" s="698"/>
      <c r="E78" s="155"/>
      <c r="M78" s="206"/>
    </row>
    <row r="79" spans="1:13" ht="18" customHeight="1" thickBot="1">
      <c r="A79" s="701" t="s">
        <v>272</v>
      </c>
      <c r="B79" s="702"/>
      <c r="C79" s="702"/>
      <c r="D79" s="703"/>
      <c r="E79" s="207"/>
      <c r="M79" s="206"/>
    </row>
    <row r="80" spans="1:13" ht="18" customHeight="1">
      <c r="A80" s="194">
        <v>3</v>
      </c>
      <c r="B80" s="195" t="s">
        <v>273</v>
      </c>
      <c r="C80" s="378" t="s">
        <v>248</v>
      </c>
      <c r="D80" s="197" t="s">
        <v>35</v>
      </c>
      <c r="E80" s="176"/>
      <c r="M80" s="206"/>
    </row>
    <row r="81" spans="1:13" ht="18" customHeight="1">
      <c r="A81" s="163" t="s">
        <v>6</v>
      </c>
      <c r="B81" s="198" t="s">
        <v>168</v>
      </c>
      <c r="C81" s="369">
        <f>((1/12)*0.05)</f>
        <v>4.1666666666666666E-3</v>
      </c>
      <c r="D81" s="170">
        <f>C81*($D$32)</f>
        <v>10.3575</v>
      </c>
      <c r="E81" s="169"/>
    </row>
    <row r="82" spans="1:13" ht="18" customHeight="1">
      <c r="A82" s="163" t="s">
        <v>8</v>
      </c>
      <c r="B82" s="198" t="s">
        <v>274</v>
      </c>
      <c r="C82" s="369">
        <f>C51*C81</f>
        <v>3.3333333333333332E-4</v>
      </c>
      <c r="D82" s="170">
        <f t="shared" ref="D82:D86" si="1">C82*($D$32)</f>
        <v>0.8286</v>
      </c>
      <c r="E82" s="169"/>
    </row>
    <row r="83" spans="1:13" ht="18" customHeight="1">
      <c r="A83" s="163" t="s">
        <v>10</v>
      </c>
      <c r="B83" s="198" t="s">
        <v>275</v>
      </c>
      <c r="C83" s="370">
        <v>0.02</v>
      </c>
      <c r="D83" s="170">
        <f t="shared" si="1"/>
        <v>49.716000000000008</v>
      </c>
      <c r="E83" s="169"/>
      <c r="M83" s="206"/>
    </row>
    <row r="84" spans="1:13" ht="18" customHeight="1">
      <c r="A84" s="163" t="s">
        <v>12</v>
      </c>
      <c r="B84" s="198" t="s">
        <v>276</v>
      </c>
      <c r="C84" s="370">
        <f>(7/30)/12</f>
        <v>1.9444444444444445E-2</v>
      </c>
      <c r="D84" s="170">
        <f>C84*($D$32)</f>
        <v>48.335000000000001</v>
      </c>
      <c r="E84" s="169"/>
    </row>
    <row r="85" spans="1:13" ht="18" customHeight="1">
      <c r="A85" s="163" t="s">
        <v>14</v>
      </c>
      <c r="B85" s="198" t="s">
        <v>277</v>
      </c>
      <c r="C85" s="370">
        <f>C84*C52</f>
        <v>7.1555555555555565E-3</v>
      </c>
      <c r="D85" s="170">
        <f>C85*($D$32)</f>
        <v>17.787280000000003</v>
      </c>
      <c r="E85" s="169"/>
    </row>
    <row r="86" spans="1:13" ht="18" customHeight="1">
      <c r="A86" s="163" t="s">
        <v>17</v>
      </c>
      <c r="B86" s="198" t="s">
        <v>278</v>
      </c>
      <c r="C86" s="371">
        <v>0.02</v>
      </c>
      <c r="D86" s="170">
        <f t="shared" si="1"/>
        <v>49.716000000000008</v>
      </c>
      <c r="E86" s="169"/>
    </row>
    <row r="87" spans="1:13" ht="18" customHeight="1" thickBot="1">
      <c r="A87" s="188" t="s">
        <v>152</v>
      </c>
      <c r="B87" s="171"/>
      <c r="C87" s="208">
        <f>SUM(C81:C86)</f>
        <v>7.1099999999999997E-2</v>
      </c>
      <c r="D87" s="172">
        <f>SUM(D81:D86)</f>
        <v>176.74038000000002</v>
      </c>
      <c r="E87" s="173"/>
    </row>
    <row r="88" spans="1:13" ht="51" customHeight="1">
      <c r="A88" s="704" t="s">
        <v>279</v>
      </c>
      <c r="B88" s="705"/>
      <c r="C88" s="705"/>
      <c r="D88" s="705"/>
      <c r="E88" s="209"/>
    </row>
    <row r="89" spans="1:13" ht="15" customHeight="1" thickBot="1">
      <c r="A89" s="699"/>
      <c r="B89" s="700"/>
      <c r="C89" s="700"/>
      <c r="D89" s="700"/>
      <c r="E89" s="155"/>
    </row>
    <row r="90" spans="1:13" ht="18" customHeight="1" thickBot="1">
      <c r="A90" s="701" t="s">
        <v>280</v>
      </c>
      <c r="B90" s="702"/>
      <c r="C90" s="702"/>
      <c r="D90" s="703"/>
      <c r="E90" s="207"/>
    </row>
    <row r="91" spans="1:13" ht="34.5" customHeight="1" thickBot="1">
      <c r="A91" s="706" t="s">
        <v>281</v>
      </c>
      <c r="B91" s="707"/>
      <c r="C91" s="707"/>
      <c r="D91" s="707"/>
      <c r="E91" s="210"/>
    </row>
    <row r="92" spans="1:13" ht="16.5" customHeight="1">
      <c r="A92" s="708" t="s">
        <v>282</v>
      </c>
      <c r="B92" s="709"/>
      <c r="C92" s="709"/>
      <c r="D92" s="710"/>
      <c r="E92" s="211"/>
    </row>
    <row r="93" spans="1:13" ht="18" customHeight="1">
      <c r="A93" s="163" t="s">
        <v>164</v>
      </c>
      <c r="B93" s="179" t="s">
        <v>283</v>
      </c>
      <c r="C93" s="179" t="s">
        <v>248</v>
      </c>
      <c r="D93" s="187" t="s">
        <v>35</v>
      </c>
      <c r="E93" s="176"/>
    </row>
    <row r="94" spans="1:13" ht="18" customHeight="1">
      <c r="A94" s="212" t="s">
        <v>6</v>
      </c>
      <c r="B94" s="198" t="s">
        <v>284</v>
      </c>
      <c r="C94" s="372">
        <f>((1/12)+(1/12)+(1/3/12))/12</f>
        <v>1.6203703703703703E-2</v>
      </c>
      <c r="D94" s="170">
        <f t="shared" ref="D94:D99" si="2">C94*($D$32)</f>
        <v>40.279166666666669</v>
      </c>
      <c r="E94" s="169"/>
    </row>
    <row r="95" spans="1:13" ht="18" customHeight="1">
      <c r="A95" s="212" t="s">
        <v>8</v>
      </c>
      <c r="B95" s="198" t="s">
        <v>285</v>
      </c>
      <c r="C95" s="372">
        <f>(2/30)/12</f>
        <v>5.5555555555555558E-3</v>
      </c>
      <c r="D95" s="170">
        <f t="shared" si="2"/>
        <v>13.810000000000002</v>
      </c>
      <c r="E95" s="169"/>
    </row>
    <row r="96" spans="1:13" ht="18" customHeight="1">
      <c r="A96" s="212" t="s">
        <v>10</v>
      </c>
      <c r="B96" s="198" t="s">
        <v>286</v>
      </c>
      <c r="C96" s="372">
        <f>((5/30)/12)*0.02</f>
        <v>2.7777777777777778E-4</v>
      </c>
      <c r="D96" s="170">
        <f t="shared" si="2"/>
        <v>0.6905</v>
      </c>
      <c r="E96" s="169"/>
    </row>
    <row r="97" spans="1:6" ht="18" customHeight="1">
      <c r="A97" s="212" t="s">
        <v>12</v>
      </c>
      <c r="B97" s="198" t="s">
        <v>287</v>
      </c>
      <c r="C97" s="372">
        <f>(((15/30)/12)*0.0078)</f>
        <v>3.2499999999999999E-4</v>
      </c>
      <c r="D97" s="170">
        <f t="shared" si="2"/>
        <v>0.80788500000000008</v>
      </c>
      <c r="E97" s="169"/>
    </row>
    <row r="98" spans="1:6" ht="18" customHeight="1">
      <c r="A98" s="212" t="s">
        <v>14</v>
      </c>
      <c r="B98" s="198" t="s">
        <v>288</v>
      </c>
      <c r="C98" s="372">
        <f>((1+1/3)/12)*0.02*((4/12))</f>
        <v>7.407407407407407E-4</v>
      </c>
      <c r="D98" s="170">
        <f t="shared" si="2"/>
        <v>1.8413333333333333</v>
      </c>
      <c r="E98" s="169"/>
    </row>
    <row r="99" spans="1:6" ht="18" customHeight="1">
      <c r="A99" s="212" t="s">
        <v>17</v>
      </c>
      <c r="B99" s="198" t="s">
        <v>289</v>
      </c>
      <c r="C99" s="372">
        <v>0</v>
      </c>
      <c r="D99" s="170">
        <f t="shared" si="2"/>
        <v>0</v>
      </c>
      <c r="E99" s="169"/>
    </row>
    <row r="100" spans="1:6" ht="18" customHeight="1">
      <c r="A100" s="711" t="s">
        <v>290</v>
      </c>
      <c r="B100" s="712"/>
      <c r="C100" s="213">
        <f>SUM(C94:C99)</f>
        <v>2.3102777777777774E-2</v>
      </c>
      <c r="D100" s="214">
        <f>SUM(D94:D99)</f>
        <v>57.428885000000001</v>
      </c>
      <c r="E100" s="215"/>
      <c r="F100" s="216"/>
    </row>
    <row r="101" spans="1:6" ht="18" customHeight="1">
      <c r="A101" s="212" t="s">
        <v>32</v>
      </c>
      <c r="B101" s="198" t="s">
        <v>291</v>
      </c>
      <c r="C101" s="217">
        <f>C100*C52</f>
        <v>8.5018222222222224E-3</v>
      </c>
      <c r="D101" s="199">
        <f>C101*($D$32)</f>
        <v>21.133829680000002</v>
      </c>
      <c r="E101" s="200"/>
    </row>
    <row r="102" spans="1:6" ht="18" customHeight="1" thickBot="1">
      <c r="A102" s="713" t="s">
        <v>152</v>
      </c>
      <c r="B102" s="714"/>
      <c r="C102" s="218">
        <f>SUM(C100:C101)</f>
        <v>3.1604599999999997E-2</v>
      </c>
      <c r="D102" s="219">
        <f>SUM(D100:D101)</f>
        <v>78.562714679999999</v>
      </c>
      <c r="E102" s="220"/>
      <c r="F102" s="216"/>
    </row>
    <row r="103" spans="1:6" ht="15" customHeight="1" thickBot="1">
      <c r="A103" s="697"/>
      <c r="B103" s="698"/>
      <c r="C103" s="698"/>
      <c r="D103" s="698"/>
      <c r="E103" s="155"/>
    </row>
    <row r="104" spans="1:6" ht="15" customHeight="1">
      <c r="A104" s="681" t="s">
        <v>292</v>
      </c>
      <c r="B104" s="682"/>
      <c r="C104" s="682"/>
      <c r="D104" s="683"/>
      <c r="E104" s="176"/>
    </row>
    <row r="105" spans="1:6" ht="15" customHeight="1">
      <c r="A105" s="221" t="s">
        <v>165</v>
      </c>
      <c r="B105" s="222" t="s">
        <v>293</v>
      </c>
      <c r="C105" s="222" t="s">
        <v>35</v>
      </c>
      <c r="D105" s="223"/>
      <c r="E105" s="224"/>
    </row>
    <row r="106" spans="1:6" ht="15" customHeight="1">
      <c r="A106" s="221" t="s">
        <v>6</v>
      </c>
      <c r="B106" s="225" t="s">
        <v>294</v>
      </c>
      <c r="C106" s="226">
        <v>0</v>
      </c>
      <c r="D106" s="227">
        <v>0</v>
      </c>
      <c r="E106" s="228"/>
    </row>
    <row r="107" spans="1:6" ht="15" customHeight="1" thickBot="1">
      <c r="A107" s="715" t="s">
        <v>152</v>
      </c>
      <c r="B107" s="716"/>
      <c r="C107" s="229">
        <f>SUM(C106)</f>
        <v>0</v>
      </c>
      <c r="D107" s="230">
        <f>SUM(D106)</f>
        <v>0</v>
      </c>
      <c r="E107" s="231"/>
    </row>
    <row r="108" spans="1:6" ht="15" customHeight="1" thickBot="1">
      <c r="A108" s="697"/>
      <c r="B108" s="698"/>
      <c r="C108" s="698"/>
      <c r="D108" s="698"/>
      <c r="E108" s="155"/>
    </row>
    <row r="109" spans="1:6" ht="15" customHeight="1">
      <c r="A109" s="681" t="s">
        <v>295</v>
      </c>
      <c r="B109" s="682"/>
      <c r="C109" s="682"/>
      <c r="D109" s="683"/>
      <c r="E109" s="176"/>
    </row>
    <row r="110" spans="1:6" ht="18" customHeight="1">
      <c r="A110" s="163">
        <v>4</v>
      </c>
      <c r="B110" s="232" t="s">
        <v>296</v>
      </c>
      <c r="C110" s="232"/>
      <c r="D110" s="187" t="s">
        <v>35</v>
      </c>
      <c r="E110" s="176"/>
    </row>
    <row r="111" spans="1:6" ht="18" customHeight="1">
      <c r="A111" s="163" t="s">
        <v>164</v>
      </c>
      <c r="B111" s="167" t="s">
        <v>283</v>
      </c>
      <c r="C111" s="167"/>
      <c r="D111" s="170">
        <f>D102</f>
        <v>78.562714679999999</v>
      </c>
      <c r="E111" s="169"/>
    </row>
    <row r="112" spans="1:6" ht="18" customHeight="1">
      <c r="A112" s="221" t="s">
        <v>165</v>
      </c>
      <c r="B112" s="233" t="s">
        <v>297</v>
      </c>
      <c r="C112" s="233"/>
      <c r="D112" s="227">
        <f>C107</f>
        <v>0</v>
      </c>
      <c r="E112" s="228"/>
    </row>
    <row r="113" spans="1:10" ht="18" customHeight="1" thickBot="1">
      <c r="A113" s="188" t="s">
        <v>152</v>
      </c>
      <c r="B113" s="171"/>
      <c r="C113" s="171"/>
      <c r="D113" s="172">
        <f>SUM(D111:D112)</f>
        <v>78.562714679999999</v>
      </c>
      <c r="E113" s="173"/>
    </row>
    <row r="114" spans="1:10" ht="15" customHeight="1" thickBot="1">
      <c r="A114" s="697"/>
      <c r="B114" s="698"/>
      <c r="C114" s="698"/>
      <c r="D114" s="698"/>
      <c r="E114" s="155"/>
    </row>
    <row r="115" spans="1:10" ht="18" customHeight="1" thickBot="1">
      <c r="A115" s="701" t="s">
        <v>298</v>
      </c>
      <c r="B115" s="702"/>
      <c r="C115" s="702"/>
      <c r="D115" s="703"/>
      <c r="E115" s="207"/>
    </row>
    <row r="116" spans="1:10" s="149" customFormat="1" ht="18" customHeight="1">
      <c r="A116" s="194">
        <v>5</v>
      </c>
      <c r="B116" s="205" t="s">
        <v>299</v>
      </c>
      <c r="C116" s="205"/>
      <c r="D116" s="197" t="s">
        <v>35</v>
      </c>
      <c r="E116" s="176"/>
      <c r="F116" s="148"/>
      <c r="G116" s="148"/>
      <c r="H116" s="148"/>
      <c r="I116" s="148"/>
      <c r="J116" s="148"/>
    </row>
    <row r="117" spans="1:10" s="149" customFormat="1" ht="18" customHeight="1">
      <c r="A117" s="163" t="s">
        <v>6</v>
      </c>
      <c r="B117" s="167" t="s">
        <v>80</v>
      </c>
      <c r="C117" s="167"/>
      <c r="D117" s="170">
        <f>'6-CUSTOS UNIFORMES'!F23</f>
        <v>0</v>
      </c>
      <c r="E117" s="169"/>
      <c r="F117" s="148"/>
      <c r="G117" s="148"/>
      <c r="H117" s="148"/>
      <c r="I117" s="148"/>
      <c r="J117" s="148"/>
    </row>
    <row r="118" spans="1:10" s="149" customFormat="1" ht="18" customHeight="1">
      <c r="A118" s="163" t="s">
        <v>8</v>
      </c>
      <c r="B118" s="167" t="s">
        <v>166</v>
      </c>
      <c r="C118" s="167"/>
      <c r="D118" s="170">
        <f>'7-CUSTOS MATERIAIS E EQUIP.'!G64</f>
        <v>0</v>
      </c>
      <c r="E118" s="169"/>
      <c r="F118" s="148"/>
      <c r="G118" s="148"/>
      <c r="H118" s="126"/>
      <c r="I118" s="126"/>
      <c r="J118" s="126"/>
    </row>
    <row r="119" spans="1:10" s="149" customFormat="1" ht="18" customHeight="1">
      <c r="A119" s="163" t="s">
        <v>10</v>
      </c>
      <c r="B119" s="167" t="s">
        <v>300</v>
      </c>
      <c r="C119" s="167"/>
      <c r="D119" s="170">
        <f>'7-CUSTOS MATERIAIS E EQUIP.'!G99</f>
        <v>0</v>
      </c>
      <c r="E119" s="169"/>
      <c r="F119" s="148"/>
      <c r="G119" s="148"/>
      <c r="H119" s="126"/>
      <c r="I119" s="126"/>
      <c r="J119" s="126"/>
    </row>
    <row r="120" spans="1:10" s="149" customFormat="1" ht="18" customHeight="1">
      <c r="A120" s="163" t="s">
        <v>12</v>
      </c>
      <c r="B120" s="373" t="s">
        <v>83</v>
      </c>
      <c r="C120" s="167"/>
      <c r="D120" s="366">
        <v>0</v>
      </c>
      <c r="E120" s="169"/>
      <c r="F120" s="148"/>
      <c r="G120" s="148"/>
      <c r="H120" s="126"/>
      <c r="I120" s="126"/>
      <c r="J120" s="126"/>
    </row>
    <row r="121" spans="1:10" s="149" customFormat="1" ht="18" customHeight="1" thickBot="1">
      <c r="A121" s="188" t="s">
        <v>152</v>
      </c>
      <c r="B121" s="171"/>
      <c r="C121" s="171"/>
      <c r="D121" s="172">
        <f>SUM(D117:D120)</f>
        <v>0</v>
      </c>
      <c r="E121" s="173"/>
      <c r="F121" s="148"/>
      <c r="G121" s="148"/>
      <c r="H121" s="126"/>
      <c r="I121" s="126"/>
      <c r="J121" s="126"/>
    </row>
    <row r="122" spans="1:10" s="149" customFormat="1" ht="15" customHeight="1" thickBot="1">
      <c r="A122" s="699"/>
      <c r="B122" s="700"/>
      <c r="C122" s="700"/>
      <c r="D122" s="700"/>
      <c r="E122" s="155"/>
      <c r="F122" s="148"/>
      <c r="G122" s="148"/>
      <c r="H122" s="148"/>
      <c r="I122" s="148"/>
      <c r="J122" s="148"/>
    </row>
    <row r="123" spans="1:10" s="149" customFormat="1" ht="18" customHeight="1" thickBot="1">
      <c r="A123" s="701" t="s">
        <v>301</v>
      </c>
      <c r="B123" s="702"/>
      <c r="C123" s="702"/>
      <c r="D123" s="703"/>
      <c r="E123" s="207"/>
      <c r="F123" s="148"/>
      <c r="G123" s="148"/>
      <c r="H123" s="148"/>
      <c r="I123" s="148"/>
      <c r="J123" s="148"/>
    </row>
    <row r="124" spans="1:10" s="149" customFormat="1" ht="31.5" customHeight="1">
      <c r="A124" s="717" t="s">
        <v>302</v>
      </c>
      <c r="B124" s="718"/>
      <c r="C124" s="374" t="s">
        <v>432</v>
      </c>
      <c r="D124" s="234" t="str">
        <f>C124</f>
        <v>Lucro presumido</v>
      </c>
      <c r="E124" s="235"/>
      <c r="F124" s="148"/>
      <c r="G124" s="148"/>
      <c r="H124" s="148"/>
      <c r="I124" s="148"/>
      <c r="J124" s="148"/>
    </row>
    <row r="125" spans="1:10" s="149" customFormat="1" ht="18" customHeight="1">
      <c r="A125" s="163">
        <v>6</v>
      </c>
      <c r="B125" s="179" t="s">
        <v>303</v>
      </c>
      <c r="C125" s="179" t="s">
        <v>248</v>
      </c>
      <c r="D125" s="187" t="s">
        <v>35</v>
      </c>
      <c r="E125" s="176"/>
      <c r="F125" s="148"/>
      <c r="G125" s="148"/>
      <c r="H125" s="148"/>
      <c r="I125" s="148"/>
      <c r="J125" s="148"/>
    </row>
    <row r="126" spans="1:10" s="149" customFormat="1" ht="18" customHeight="1">
      <c r="A126" s="212" t="s">
        <v>6</v>
      </c>
      <c r="B126" s="236" t="s">
        <v>304</v>
      </c>
      <c r="C126" s="375">
        <v>0</v>
      </c>
      <c r="D126" s="238">
        <f>$C126*D$144</f>
        <v>0</v>
      </c>
      <c r="E126" s="173"/>
      <c r="F126" s="148"/>
      <c r="G126" s="148"/>
      <c r="H126" s="148"/>
      <c r="I126" s="148"/>
      <c r="J126" s="148"/>
    </row>
    <row r="127" spans="1:10" s="149" customFormat="1" ht="18" customHeight="1">
      <c r="A127" s="212" t="s">
        <v>8</v>
      </c>
      <c r="B127" s="236" t="s">
        <v>99</v>
      </c>
      <c r="C127" s="375">
        <v>0</v>
      </c>
      <c r="D127" s="238">
        <f>$C127*(D$144+D126)</f>
        <v>0</v>
      </c>
      <c r="E127" s="173"/>
      <c r="F127" s="148"/>
      <c r="G127" s="148"/>
      <c r="H127" s="148"/>
      <c r="I127" s="148"/>
      <c r="J127" s="148"/>
    </row>
    <row r="128" spans="1:10" s="149" customFormat="1" ht="18" customHeight="1">
      <c r="A128" s="239" t="s">
        <v>10</v>
      </c>
      <c r="B128" s="240" t="s">
        <v>305</v>
      </c>
      <c r="C128" s="237">
        <f>SUM(C129:C132)</f>
        <v>8.6499999999999994E-2</v>
      </c>
      <c r="D128" s="238">
        <f>SUM(D129:D132)</f>
        <v>511.66833296111662</v>
      </c>
      <c r="E128" s="173"/>
      <c r="F128" s="148"/>
      <c r="G128" s="148"/>
      <c r="H128" s="148"/>
      <c r="I128" s="216"/>
      <c r="J128" s="148"/>
    </row>
    <row r="129" spans="1:10" s="149" customFormat="1" ht="18" customHeight="1">
      <c r="A129" s="212" t="s">
        <v>306</v>
      </c>
      <c r="B129" s="167" t="s">
        <v>307</v>
      </c>
      <c r="C129" s="376" cm="1">
        <f t="array" ref="C129">_xlfn.IFS(C124="Lucro presumido",0.65%,C124="Lucro real",1.65%,C124="Outros",0%)</f>
        <v>6.5000000000000006E-3</v>
      </c>
      <c r="D129" s="241">
        <f>($D$144+$D$126+$D$127)*C129/(1-$C$128)</f>
        <v>38.449065482627262</v>
      </c>
      <c r="E129" s="242"/>
      <c r="F129" s="148"/>
      <c r="G129" s="148"/>
      <c r="H129" s="148"/>
      <c r="I129" s="216"/>
      <c r="J129" s="148"/>
    </row>
    <row r="130" spans="1:10" s="149" customFormat="1" ht="18" customHeight="1">
      <c r="A130" s="212" t="s">
        <v>308</v>
      </c>
      <c r="B130" s="167" t="s">
        <v>309</v>
      </c>
      <c r="C130" s="376" cm="1">
        <f t="array" ref="C130">_xlfn.IFS(C124="Lucro presumido",3%,C124="Lucro real",7.6%,C124="Outros",0%)</f>
        <v>0.03</v>
      </c>
      <c r="D130" s="241">
        <f>($D$144+$D$126+$D$127)*C130/(1-$C$128)</f>
        <v>177.45722530443348</v>
      </c>
      <c r="E130" s="242"/>
      <c r="F130" s="148"/>
      <c r="G130" s="148"/>
      <c r="H130" s="148"/>
      <c r="I130" s="148"/>
      <c r="J130" s="216"/>
    </row>
    <row r="131" spans="1:10" s="149" customFormat="1" ht="18" customHeight="1">
      <c r="A131" s="212" t="s">
        <v>310</v>
      </c>
      <c r="B131" s="167" t="s">
        <v>311</v>
      </c>
      <c r="C131" s="376">
        <v>0.05</v>
      </c>
      <c r="D131" s="241">
        <f>($D$144+$D$126+$D$127)*C131/(1-$C$128)</f>
        <v>295.76204217405586</v>
      </c>
      <c r="E131" s="242"/>
      <c r="F131" s="148"/>
      <c r="G131" s="148"/>
      <c r="H131" s="148"/>
      <c r="I131" s="148"/>
      <c r="J131" s="216"/>
    </row>
    <row r="132" spans="1:10" s="149" customFormat="1" ht="18" customHeight="1">
      <c r="A132" s="243" t="s">
        <v>312</v>
      </c>
      <c r="B132" s="244" t="s">
        <v>313</v>
      </c>
      <c r="C132" s="376">
        <v>0</v>
      </c>
      <c r="D132" s="245">
        <f>($D$144+$D$126+$D$127)*C132/(1-$C$128)</f>
        <v>0</v>
      </c>
      <c r="E132" s="246"/>
      <c r="F132" s="148"/>
      <c r="G132" s="148"/>
      <c r="H132" s="148"/>
      <c r="I132" s="148"/>
      <c r="J132" s="216"/>
    </row>
    <row r="133" spans="1:10" s="149" customFormat="1" ht="18" customHeight="1" thickBot="1">
      <c r="A133" s="188" t="s">
        <v>152</v>
      </c>
      <c r="B133" s="171"/>
      <c r="C133" s="247">
        <f>SUM(C126:C128)</f>
        <v>8.6499999999999994E-2</v>
      </c>
      <c r="D133" s="248">
        <f>SUM(D126:D128)</f>
        <v>511.66833296111662</v>
      </c>
      <c r="E133" s="249"/>
      <c r="F133" s="148"/>
      <c r="G133" s="148"/>
      <c r="H133" s="148"/>
      <c r="I133" s="148"/>
      <c r="J133" s="216"/>
    </row>
    <row r="134" spans="1:10" s="149" customFormat="1" ht="21.75" customHeight="1">
      <c r="A134" s="719" t="s">
        <v>314</v>
      </c>
      <c r="B134" s="720"/>
      <c r="C134" s="720"/>
      <c r="D134" s="720"/>
      <c r="E134" s="250"/>
      <c r="F134" s="148"/>
      <c r="G134" s="148"/>
      <c r="H134" s="148"/>
      <c r="I134" s="148"/>
      <c r="J134" s="216"/>
    </row>
    <row r="135" spans="1:10" s="149" customFormat="1" ht="25.5" customHeight="1">
      <c r="A135" s="689" t="s">
        <v>315</v>
      </c>
      <c r="B135" s="690"/>
      <c r="C135" s="690"/>
      <c r="D135" s="690"/>
      <c r="E135" s="190"/>
      <c r="F135" s="148"/>
      <c r="G135" s="148"/>
      <c r="H135" s="148"/>
      <c r="I135" s="148"/>
      <c r="J135" s="216"/>
    </row>
    <row r="136" spans="1:10" s="149" customFormat="1" ht="15" customHeight="1" thickBot="1">
      <c r="A136" s="699"/>
      <c r="B136" s="700"/>
      <c r="C136" s="700"/>
      <c r="D136" s="700"/>
      <c r="E136" s="155"/>
      <c r="F136" s="148"/>
      <c r="G136" s="148"/>
      <c r="H136" s="148"/>
      <c r="I136" s="148"/>
      <c r="J136" s="148"/>
    </row>
    <row r="137" spans="1:10" s="149" customFormat="1" ht="18" customHeight="1" thickBot="1">
      <c r="A137" s="701" t="s">
        <v>316</v>
      </c>
      <c r="B137" s="702"/>
      <c r="C137" s="702"/>
      <c r="D137" s="702"/>
      <c r="E137" s="207"/>
      <c r="F137" s="148"/>
      <c r="G137" s="148"/>
      <c r="H137" s="148"/>
      <c r="I137" s="148"/>
      <c r="J137" s="148"/>
    </row>
    <row r="138" spans="1:10" s="149" customFormat="1" ht="18" customHeight="1">
      <c r="A138" s="681" t="s">
        <v>317</v>
      </c>
      <c r="B138" s="721"/>
      <c r="C138" s="205"/>
      <c r="D138" s="251" t="s">
        <v>318</v>
      </c>
      <c r="E138" s="176"/>
      <c r="F138" s="148"/>
      <c r="G138" s="148"/>
      <c r="H138" s="148"/>
      <c r="I138" s="148"/>
      <c r="J138" s="216"/>
    </row>
    <row r="139" spans="1:10" s="149" customFormat="1" ht="18" customHeight="1">
      <c r="A139" s="212" t="s">
        <v>6</v>
      </c>
      <c r="B139" s="198" t="s">
        <v>241</v>
      </c>
      <c r="C139" s="198"/>
      <c r="D139" s="252">
        <f>D32</f>
        <v>2485.8000000000002</v>
      </c>
      <c r="E139" s="253"/>
      <c r="F139" s="148"/>
      <c r="G139" s="148"/>
      <c r="H139" s="216"/>
      <c r="I139" s="148"/>
      <c r="J139" s="148"/>
    </row>
    <row r="140" spans="1:10" s="149" customFormat="1" ht="18" customHeight="1">
      <c r="A140" s="212" t="s">
        <v>8</v>
      </c>
      <c r="B140" s="198" t="s">
        <v>245</v>
      </c>
      <c r="C140" s="198"/>
      <c r="D140" s="252">
        <f>D77</f>
        <v>2662.4694158399998</v>
      </c>
      <c r="E140" s="253"/>
      <c r="F140" s="148"/>
      <c r="G140" s="148"/>
      <c r="H140" s="148"/>
      <c r="I140" s="148"/>
      <c r="J140" s="216"/>
    </row>
    <row r="141" spans="1:10" s="149" customFormat="1" ht="18" customHeight="1">
      <c r="A141" s="212" t="s">
        <v>10</v>
      </c>
      <c r="B141" s="198" t="s">
        <v>272</v>
      </c>
      <c r="C141" s="198"/>
      <c r="D141" s="252">
        <f>D87</f>
        <v>176.74038000000002</v>
      </c>
      <c r="E141" s="253"/>
      <c r="F141" s="148"/>
      <c r="G141" s="148"/>
      <c r="H141" s="148"/>
      <c r="I141" s="148"/>
      <c r="J141" s="216"/>
    </row>
    <row r="142" spans="1:10" s="149" customFormat="1" ht="18" customHeight="1">
      <c r="A142" s="212" t="s">
        <v>12</v>
      </c>
      <c r="B142" s="198" t="s">
        <v>319</v>
      </c>
      <c r="C142" s="198"/>
      <c r="D142" s="252">
        <f>D113</f>
        <v>78.562714679999999</v>
      </c>
      <c r="E142" s="253"/>
      <c r="F142" s="148"/>
      <c r="G142" s="148"/>
      <c r="H142" s="216"/>
      <c r="I142" s="148"/>
      <c r="J142" s="216"/>
    </row>
    <row r="143" spans="1:10" s="149" customFormat="1" ht="18" customHeight="1">
      <c r="A143" s="212" t="s">
        <v>14</v>
      </c>
      <c r="B143" s="198" t="s">
        <v>298</v>
      </c>
      <c r="C143" s="198"/>
      <c r="D143" s="252">
        <f>D121</f>
        <v>0</v>
      </c>
      <c r="E143" s="253"/>
      <c r="F143" s="148"/>
      <c r="G143" s="148"/>
      <c r="H143" s="216"/>
      <c r="I143" s="148"/>
      <c r="J143" s="216"/>
    </row>
    <row r="144" spans="1:10" s="149" customFormat="1" ht="18" customHeight="1">
      <c r="A144" s="722" t="s">
        <v>320</v>
      </c>
      <c r="B144" s="723"/>
      <c r="C144" s="232"/>
      <c r="D144" s="254">
        <f>SUM(D139:D143)</f>
        <v>5403.5725105199999</v>
      </c>
      <c r="E144" s="249"/>
      <c r="F144" s="148"/>
      <c r="G144" s="148"/>
      <c r="H144" s="148"/>
      <c r="I144" s="148"/>
      <c r="J144" s="148"/>
    </row>
    <row r="145" spans="1:10" s="149" customFormat="1" ht="18" customHeight="1">
      <c r="A145" s="212" t="s">
        <v>17</v>
      </c>
      <c r="B145" s="167" t="s">
        <v>301</v>
      </c>
      <c r="C145" s="167"/>
      <c r="D145" s="252">
        <f>D133</f>
        <v>511.66833296111662</v>
      </c>
      <c r="E145" s="253"/>
      <c r="F145" s="148"/>
      <c r="G145" s="148"/>
      <c r="H145" s="148"/>
      <c r="I145" s="148"/>
      <c r="J145" s="148"/>
    </row>
    <row r="146" spans="1:10" s="149" customFormat="1" ht="18" customHeight="1" thickBot="1">
      <c r="A146" s="724" t="s">
        <v>321</v>
      </c>
      <c r="B146" s="725"/>
      <c r="C146" s="255"/>
      <c r="D146" s="256">
        <f>ROUND(SUM(D144:D145),2)</f>
        <v>5915.24</v>
      </c>
      <c r="E146" s="257"/>
      <c r="F146" s="148"/>
      <c r="G146" s="148"/>
      <c r="H146" s="148"/>
      <c r="I146" s="148"/>
      <c r="J146" s="148"/>
    </row>
    <row r="147" spans="1:10" s="149" customFormat="1" ht="18" customHeight="1">
      <c r="A147" s="148"/>
      <c r="B147" s="148"/>
      <c r="C147" s="148"/>
      <c r="D147" s="148"/>
      <c r="E147" s="148"/>
      <c r="F147" s="148"/>
      <c r="G147" s="148"/>
      <c r="H147" s="148"/>
      <c r="I147" s="148"/>
      <c r="J147" s="148"/>
    </row>
    <row r="148" spans="1:10">
      <c r="C148" s="692"/>
      <c r="D148" s="692"/>
      <c r="E148" s="692"/>
      <c r="F148" s="692"/>
      <c r="G148" s="692"/>
    </row>
    <row r="151" spans="1:10">
      <c r="G151" s="216"/>
    </row>
    <row r="152" spans="1:10">
      <c r="G152" s="216"/>
    </row>
    <row r="153" spans="1:10">
      <c r="G153" s="216"/>
    </row>
    <row r="154" spans="1:10">
      <c r="G154" s="216"/>
    </row>
    <row r="155" spans="1:10">
      <c r="G155" s="216"/>
    </row>
  </sheetData>
  <mergeCells count="65">
    <mergeCell ref="A137:D137"/>
    <mergeCell ref="A138:B138"/>
    <mergeCell ref="A144:B144"/>
    <mergeCell ref="A146:B146"/>
    <mergeCell ref="C148:G148"/>
    <mergeCell ref="A136:D136"/>
    <mergeCell ref="A104:D104"/>
    <mergeCell ref="A107:B107"/>
    <mergeCell ref="A108:D108"/>
    <mergeCell ref="A109:D109"/>
    <mergeCell ref="A114:D114"/>
    <mergeCell ref="A115:D115"/>
    <mergeCell ref="A122:D122"/>
    <mergeCell ref="A123:D123"/>
    <mergeCell ref="A124:B124"/>
    <mergeCell ref="A134:D134"/>
    <mergeCell ref="A135:D135"/>
    <mergeCell ref="A103:D103"/>
    <mergeCell ref="A71:D71"/>
    <mergeCell ref="A72:D72"/>
    <mergeCell ref="A78:D78"/>
    <mergeCell ref="A79:D79"/>
    <mergeCell ref="A88:D88"/>
    <mergeCell ref="A89:D89"/>
    <mergeCell ref="A90:D90"/>
    <mergeCell ref="A91:D91"/>
    <mergeCell ref="A92:D92"/>
    <mergeCell ref="A100:B100"/>
    <mergeCell ref="A102:B102"/>
    <mergeCell ref="A58:D58"/>
    <mergeCell ref="A33:D33"/>
    <mergeCell ref="A35:D35"/>
    <mergeCell ref="A36:D36"/>
    <mergeCell ref="A40:B40"/>
    <mergeCell ref="A41:D41"/>
    <mergeCell ref="A42:D42"/>
    <mergeCell ref="A53:D53"/>
    <mergeCell ref="A54:D54"/>
    <mergeCell ref="A55:D55"/>
    <mergeCell ref="A56:D56"/>
    <mergeCell ref="A57:D57"/>
    <mergeCell ref="A32:B32"/>
    <mergeCell ref="B15:C15"/>
    <mergeCell ref="B16:C16"/>
    <mergeCell ref="B17:C17"/>
    <mergeCell ref="B18:C18"/>
    <mergeCell ref="B19:C19"/>
    <mergeCell ref="B20:C20"/>
    <mergeCell ref="A21:D21"/>
    <mergeCell ref="A22:D22"/>
    <mergeCell ref="A23:D23"/>
    <mergeCell ref="A24:D24"/>
    <mergeCell ref="A26:D26"/>
    <mergeCell ref="B14:C14"/>
    <mergeCell ref="A1:D1"/>
    <mergeCell ref="A2:D2"/>
    <mergeCell ref="F2:K2"/>
    <mergeCell ref="A3:D3"/>
    <mergeCell ref="F3:K8"/>
    <mergeCell ref="A8:D8"/>
    <mergeCell ref="B9:C9"/>
    <mergeCell ref="B10:C10"/>
    <mergeCell ref="B11:C11"/>
    <mergeCell ref="B12:C12"/>
    <mergeCell ref="B13:C13"/>
  </mergeCells>
  <dataValidations count="2">
    <dataValidation type="list" allowBlank="1" showInputMessage="1" showErrorMessage="1" sqref="D124:E124" xr:uid="{FF45005F-084C-44D5-BDE7-09F30B5EAE6A}">
      <formula1>"Lucro presumido,Lucro real"</formula1>
    </dataValidation>
    <dataValidation type="list" allowBlank="1" showInputMessage="1" showErrorMessage="1" sqref="C124" xr:uid="{306FF080-2ADD-4F94-A1B0-947DB62D2731}">
      <formula1>"Lucro presumido,Lucro real, Outros"</formula1>
    </dataValidation>
  </dataValidations>
  <printOptions horizontalCentered="1"/>
  <pageMargins left="0.25" right="0.25" top="0.75" bottom="0.75" header="0.3" footer="0.3"/>
  <pageSetup paperSize="9" scale="76" fitToHeight="0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A8B6A-8AD5-40A9-B666-6A0CB3FE0502}">
  <sheetPr>
    <tabColor theme="4" tint="-0.249977111117893"/>
    <pageSetUpPr fitToPage="1"/>
  </sheetPr>
  <dimension ref="A1:M155"/>
  <sheetViews>
    <sheetView showGridLines="0" view="pageBreakPreview" zoomScale="90" zoomScaleNormal="115" zoomScaleSheetLayoutView="90" workbookViewId="0">
      <selection sqref="A1:D1"/>
    </sheetView>
  </sheetViews>
  <sheetFormatPr defaultColWidth="8.77734375" defaultRowHeight="13.8"/>
  <cols>
    <col min="1" max="1" width="5.21875" style="148" bestFit="1" customWidth="1"/>
    <col min="2" max="2" width="85.21875" style="148" customWidth="1"/>
    <col min="3" max="3" width="13.77734375" style="148" bestFit="1" customWidth="1"/>
    <col min="4" max="4" width="25.77734375" style="148" customWidth="1"/>
    <col min="5" max="5" width="3.44140625" style="148" customWidth="1"/>
    <col min="6" max="6" width="10.5546875" style="148" customWidth="1"/>
    <col min="7" max="7" width="13.77734375" style="148" customWidth="1"/>
    <col min="8" max="8" width="7.5546875" style="148" customWidth="1"/>
    <col min="9" max="9" width="9.21875" style="148" bestFit="1" customWidth="1"/>
    <col min="10" max="10" width="11" style="148" customWidth="1"/>
    <col min="11" max="11" width="17.77734375" style="149" customWidth="1"/>
    <col min="12" max="13" width="13.77734375" style="149" bestFit="1" customWidth="1"/>
    <col min="14" max="16384" width="8.77734375" style="148"/>
  </cols>
  <sheetData>
    <row r="1" spans="1:13" ht="90" customHeight="1" thickBot="1">
      <c r="A1" s="603" t="s">
        <v>206</v>
      </c>
      <c r="B1" s="603"/>
      <c r="C1" s="603"/>
      <c r="D1" s="603"/>
      <c r="E1" s="124"/>
    </row>
    <row r="2" spans="1:13" ht="23.25" customHeight="1">
      <c r="A2" s="637" t="s">
        <v>434</v>
      </c>
      <c r="B2" s="638"/>
      <c r="C2" s="638"/>
      <c r="D2" s="639"/>
      <c r="E2" s="127"/>
      <c r="F2" s="640" t="s">
        <v>223</v>
      </c>
      <c r="G2" s="641"/>
      <c r="H2" s="641"/>
      <c r="I2" s="641"/>
      <c r="J2" s="641"/>
      <c r="K2" s="642"/>
      <c r="L2" s="148"/>
      <c r="M2" s="148"/>
    </row>
    <row r="3" spans="1:13" ht="34.5" customHeight="1">
      <c r="A3" s="643" t="s">
        <v>322</v>
      </c>
      <c r="B3" s="644"/>
      <c r="C3" s="644"/>
      <c r="D3" s="645"/>
      <c r="E3" s="150"/>
      <c r="F3" s="646" t="s">
        <v>420</v>
      </c>
      <c r="G3" s="647"/>
      <c r="H3" s="647"/>
      <c r="I3" s="647"/>
      <c r="J3" s="647"/>
      <c r="K3" s="648"/>
      <c r="L3" s="148"/>
      <c r="M3" s="148"/>
    </row>
    <row r="4" spans="1:13" ht="15" customHeight="1">
      <c r="A4" s="316" t="str">
        <f>'1-RESUMO PROPOSTA'!$B$4</f>
        <v xml:space="preserve">Número do  Processo: CRQ-IV 18/26     </v>
      </c>
      <c r="B4" s="128"/>
      <c r="C4" s="128"/>
      <c r="D4" s="317"/>
      <c r="E4" s="151"/>
      <c r="F4" s="646"/>
      <c r="G4" s="647"/>
      <c r="H4" s="647"/>
      <c r="I4" s="647"/>
      <c r="J4" s="647"/>
      <c r="K4" s="648"/>
      <c r="L4" s="148"/>
      <c r="M4" s="148"/>
    </row>
    <row r="5" spans="1:13" ht="15" customHeight="1">
      <c r="A5" s="398" t="str">
        <f>'1-RESUMO PROPOSTA'!$B$5</f>
        <v xml:space="preserve">Número da Licitação: Pregão Eletrônico nº 90006/2026      </v>
      </c>
      <c r="B5" s="129"/>
      <c r="C5" s="129"/>
      <c r="D5" s="399"/>
      <c r="E5" s="151"/>
      <c r="F5" s="646"/>
      <c r="G5" s="647"/>
      <c r="H5" s="647"/>
      <c r="I5" s="647"/>
      <c r="J5" s="647"/>
      <c r="K5" s="648"/>
      <c r="L5" s="148"/>
      <c r="M5" s="148"/>
    </row>
    <row r="6" spans="1:13" ht="15" customHeight="1">
      <c r="A6" s="316" t="str">
        <f>CONCATENATE("Razão Social:  ",'1-RESUMO PROPOSTA'!C$8)</f>
        <v xml:space="preserve">Razão Social:  </v>
      </c>
      <c r="B6" s="128"/>
      <c r="C6" s="128"/>
      <c r="D6" s="317"/>
      <c r="E6" s="151"/>
      <c r="F6" s="646"/>
      <c r="G6" s="647"/>
      <c r="H6" s="647"/>
      <c r="I6" s="647"/>
      <c r="J6" s="647"/>
      <c r="K6" s="648"/>
      <c r="L6" s="148"/>
      <c r="M6" s="148"/>
    </row>
    <row r="7" spans="1:13" ht="21.75" customHeight="1">
      <c r="A7" s="398" t="str">
        <f>CONCATENATE("CNPJ:  ",'1-RESUMO PROPOSTA'!C9)</f>
        <v xml:space="preserve">CNPJ:  </v>
      </c>
      <c r="B7" s="129"/>
      <c r="C7" s="129"/>
      <c r="D7" s="399"/>
      <c r="E7" s="152"/>
      <c r="F7" s="646"/>
      <c r="G7" s="647"/>
      <c r="H7" s="647"/>
      <c r="I7" s="647"/>
      <c r="J7" s="647"/>
      <c r="K7" s="648"/>
      <c r="L7" s="148"/>
      <c r="M7" s="148"/>
    </row>
    <row r="8" spans="1:13" ht="41.25" customHeight="1" thickBot="1">
      <c r="A8" s="726" t="s">
        <v>329</v>
      </c>
      <c r="B8" s="727"/>
      <c r="C8" s="727"/>
      <c r="D8" s="728"/>
      <c r="E8" s="153"/>
      <c r="F8" s="649"/>
      <c r="G8" s="650"/>
      <c r="H8" s="650"/>
      <c r="I8" s="650"/>
      <c r="J8" s="650"/>
      <c r="K8" s="651"/>
      <c r="L8" s="148"/>
      <c r="M8" s="148"/>
    </row>
    <row r="9" spans="1:13" ht="19.5" customHeight="1">
      <c r="A9" s="212" t="s">
        <v>6</v>
      </c>
      <c r="B9" s="636" t="s">
        <v>225</v>
      </c>
      <c r="C9" s="636"/>
      <c r="D9" s="402" t="s">
        <v>26</v>
      </c>
      <c r="F9" s="149"/>
      <c r="G9" s="149"/>
      <c r="H9" s="149"/>
      <c r="K9" s="148"/>
      <c r="L9" s="148"/>
      <c r="M9" s="148"/>
    </row>
    <row r="10" spans="1:13" ht="19.5" customHeight="1">
      <c r="A10" s="212" t="s">
        <v>8</v>
      </c>
      <c r="B10" s="636" t="s">
        <v>226</v>
      </c>
      <c r="C10" s="636"/>
      <c r="D10" s="403" t="s">
        <v>227</v>
      </c>
      <c r="E10" s="155"/>
      <c r="F10" s="149"/>
      <c r="G10" s="149"/>
      <c r="H10" s="149"/>
      <c r="K10" s="148"/>
      <c r="L10" s="148"/>
      <c r="M10" s="148"/>
    </row>
    <row r="11" spans="1:13" ht="19.5" customHeight="1">
      <c r="A11" s="212" t="s">
        <v>10</v>
      </c>
      <c r="B11" s="636" t="s">
        <v>228</v>
      </c>
      <c r="C11" s="636"/>
      <c r="D11" s="404">
        <v>25194</v>
      </c>
      <c r="E11" s="155"/>
      <c r="F11" s="149"/>
      <c r="G11" s="149"/>
      <c r="H11" s="149"/>
      <c r="K11" s="148"/>
      <c r="L11" s="148"/>
      <c r="M11" s="148"/>
    </row>
    <row r="12" spans="1:13" ht="19.5" customHeight="1">
      <c r="A12" s="212" t="s">
        <v>12</v>
      </c>
      <c r="B12" s="636" t="s">
        <v>171</v>
      </c>
      <c r="C12" s="636"/>
      <c r="D12" s="404" t="s">
        <v>327</v>
      </c>
      <c r="E12" s="155"/>
      <c r="F12" s="149"/>
      <c r="H12" s="149"/>
      <c r="K12" s="148"/>
      <c r="L12" s="148"/>
      <c r="M12" s="148"/>
    </row>
    <row r="13" spans="1:13" ht="19.5" customHeight="1">
      <c r="A13" s="212" t="s">
        <v>14</v>
      </c>
      <c r="B13" s="655" t="s">
        <v>379</v>
      </c>
      <c r="C13" s="656"/>
      <c r="D13" s="403" t="s">
        <v>378</v>
      </c>
      <c r="E13" s="155"/>
      <c r="F13" s="149"/>
      <c r="H13" s="149"/>
      <c r="K13" s="148"/>
      <c r="L13" s="148"/>
      <c r="M13" s="148"/>
    </row>
    <row r="14" spans="1:13" ht="19.5" customHeight="1">
      <c r="A14" s="212" t="s">
        <v>17</v>
      </c>
      <c r="B14" s="636" t="s">
        <v>229</v>
      </c>
      <c r="C14" s="636"/>
      <c r="D14" s="403" t="s">
        <v>334</v>
      </c>
      <c r="E14" s="155"/>
      <c r="F14" s="149"/>
      <c r="G14" s="149"/>
      <c r="H14" s="149"/>
      <c r="K14" s="148"/>
      <c r="L14" s="148"/>
      <c r="M14" s="148"/>
    </row>
    <row r="15" spans="1:13" ht="27" customHeight="1">
      <c r="A15" s="212" t="s">
        <v>19</v>
      </c>
      <c r="B15" s="636" t="s">
        <v>230</v>
      </c>
      <c r="C15" s="636"/>
      <c r="D15" s="405" t="s">
        <v>381</v>
      </c>
      <c r="E15" s="156"/>
      <c r="F15" s="149"/>
      <c r="G15" s="149"/>
      <c r="H15" s="149"/>
      <c r="K15" s="148"/>
      <c r="L15" s="148"/>
      <c r="M15" s="148"/>
    </row>
    <row r="16" spans="1:13" ht="19.5" customHeight="1">
      <c r="A16" s="406" t="s">
        <v>135</v>
      </c>
      <c r="B16" s="659" t="s">
        <v>231</v>
      </c>
      <c r="C16" s="660"/>
      <c r="D16" s="407">
        <v>2003.9</v>
      </c>
      <c r="E16" s="157"/>
      <c r="F16" s="149"/>
      <c r="G16" s="149"/>
      <c r="H16" s="149"/>
      <c r="K16" s="148"/>
      <c r="L16" s="148"/>
      <c r="M16" s="148"/>
    </row>
    <row r="17" spans="1:13" ht="25.5" customHeight="1">
      <c r="A17" s="212" t="s">
        <v>32</v>
      </c>
      <c r="B17" s="636" t="s">
        <v>331</v>
      </c>
      <c r="C17" s="655"/>
      <c r="D17" s="408" t="s">
        <v>332</v>
      </c>
      <c r="E17" s="156"/>
      <c r="F17" s="149"/>
      <c r="G17" s="149"/>
      <c r="H17" s="149"/>
      <c r="K17" s="148"/>
      <c r="L17" s="148"/>
      <c r="M17" s="148"/>
    </row>
    <row r="18" spans="1:13" ht="19.5" customHeight="1">
      <c r="A18" s="212" t="s">
        <v>232</v>
      </c>
      <c r="B18" s="636" t="s">
        <v>233</v>
      </c>
      <c r="C18" s="636"/>
      <c r="D18" s="409">
        <v>46023</v>
      </c>
      <c r="E18" s="155"/>
      <c r="F18" s="149"/>
      <c r="G18" s="149"/>
      <c r="H18" s="149"/>
      <c r="K18" s="148"/>
      <c r="L18" s="148"/>
      <c r="M18" s="148"/>
    </row>
    <row r="19" spans="1:13" ht="19.5" customHeight="1">
      <c r="A19" s="212" t="s">
        <v>328</v>
      </c>
      <c r="B19" s="636" t="s">
        <v>235</v>
      </c>
      <c r="C19" s="636"/>
      <c r="D19" s="402" t="s">
        <v>236</v>
      </c>
      <c r="E19" s="155"/>
      <c r="F19" s="149"/>
      <c r="G19" s="149"/>
      <c r="H19" s="149"/>
      <c r="K19" s="148"/>
      <c r="L19" s="148"/>
      <c r="M19" s="148"/>
    </row>
    <row r="20" spans="1:13" ht="19.5" customHeight="1" thickBot="1">
      <c r="A20" s="410" t="s">
        <v>234</v>
      </c>
      <c r="B20" s="661" t="s">
        <v>237</v>
      </c>
      <c r="C20" s="661"/>
      <c r="D20" s="411" t="s">
        <v>238</v>
      </c>
      <c r="E20" s="155"/>
      <c r="F20" s="149"/>
      <c r="G20" s="149"/>
      <c r="H20" s="149"/>
      <c r="K20" s="148"/>
      <c r="L20" s="148"/>
      <c r="M20" s="148"/>
    </row>
    <row r="21" spans="1:13" ht="3" customHeight="1">
      <c r="A21" s="662"/>
      <c r="B21" s="662"/>
      <c r="C21" s="662"/>
      <c r="D21" s="662"/>
      <c r="E21" s="158"/>
      <c r="I21" s="149"/>
      <c r="J21" s="149"/>
      <c r="L21" s="148"/>
      <c r="M21" s="148"/>
    </row>
    <row r="22" spans="1:13" ht="11.25" customHeight="1" thickBot="1">
      <c r="A22" s="663"/>
      <c r="B22" s="663"/>
      <c r="C22" s="663"/>
      <c r="D22" s="663"/>
      <c r="E22" s="159"/>
      <c r="I22" s="149"/>
      <c r="J22" s="149"/>
      <c r="L22" s="148"/>
      <c r="M22" s="148"/>
    </row>
    <row r="23" spans="1:13" ht="14.4">
      <c r="A23" s="664" t="s">
        <v>239</v>
      </c>
      <c r="B23" s="665"/>
      <c r="C23" s="665"/>
      <c r="D23" s="666"/>
      <c r="E23" s="160"/>
      <c r="I23" s="149"/>
      <c r="J23" s="149"/>
      <c r="L23" s="148"/>
      <c r="M23" s="148"/>
    </row>
    <row r="24" spans="1:13" ht="18" customHeight="1" thickBot="1">
      <c r="A24" s="667" t="s">
        <v>240</v>
      </c>
      <c r="B24" s="668"/>
      <c r="C24" s="668"/>
      <c r="D24" s="669"/>
      <c r="E24" s="161"/>
      <c r="I24" s="149"/>
      <c r="J24" s="149"/>
      <c r="L24" s="148"/>
      <c r="M24" s="148"/>
    </row>
    <row r="25" spans="1:13" ht="13.5" customHeight="1" thickBot="1">
      <c r="A25" s="149"/>
      <c r="B25" s="149"/>
      <c r="C25" s="149"/>
      <c r="D25" s="149"/>
      <c r="E25" s="149"/>
      <c r="F25" s="149"/>
      <c r="G25" s="149"/>
      <c r="H25" s="149"/>
      <c r="I25" s="149"/>
      <c r="J25" s="149"/>
      <c r="L25" s="148"/>
      <c r="M25" s="148"/>
    </row>
    <row r="26" spans="1:13" ht="18" customHeight="1">
      <c r="A26" s="670" t="s">
        <v>241</v>
      </c>
      <c r="B26" s="671"/>
      <c r="C26" s="671"/>
      <c r="D26" s="672"/>
      <c r="E26" s="162"/>
    </row>
    <row r="27" spans="1:13" ht="18" customHeight="1">
      <c r="A27" s="163">
        <v>1</v>
      </c>
      <c r="B27" s="164" t="s">
        <v>242</v>
      </c>
      <c r="C27" s="164"/>
      <c r="D27" s="165" t="s">
        <v>35</v>
      </c>
      <c r="E27" s="166"/>
    </row>
    <row r="28" spans="1:13" ht="18" customHeight="1">
      <c r="A28" s="163" t="s">
        <v>6</v>
      </c>
      <c r="B28" s="167" t="s">
        <v>243</v>
      </c>
      <c r="C28" s="167"/>
      <c r="D28" s="168">
        <f>D16</f>
        <v>2003.9</v>
      </c>
      <c r="E28" s="169"/>
    </row>
    <row r="29" spans="1:13" ht="18" customHeight="1">
      <c r="A29" s="163" t="s">
        <v>8</v>
      </c>
      <c r="B29" s="167" t="s">
        <v>169</v>
      </c>
      <c r="C29" s="167"/>
      <c r="D29" s="366"/>
      <c r="E29" s="169"/>
    </row>
    <row r="30" spans="1:13" ht="18" customHeight="1">
      <c r="A30" s="163" t="s">
        <v>10</v>
      </c>
      <c r="B30" s="167" t="s">
        <v>170</v>
      </c>
      <c r="C30" s="167"/>
      <c r="D30" s="366"/>
      <c r="E30" s="169"/>
    </row>
    <row r="31" spans="1:13" ht="18" customHeight="1">
      <c r="A31" s="163" t="s">
        <v>12</v>
      </c>
      <c r="B31" s="365" t="s">
        <v>333</v>
      </c>
      <c r="C31" s="167"/>
      <c r="D31" s="366"/>
      <c r="E31" s="169"/>
    </row>
    <row r="32" spans="1:13" ht="18" customHeight="1" thickBot="1">
      <c r="A32" s="657" t="s">
        <v>244</v>
      </c>
      <c r="B32" s="658"/>
      <c r="C32" s="171"/>
      <c r="D32" s="172">
        <f>SUM(D28:D31)</f>
        <v>2003.9</v>
      </c>
      <c r="E32" s="173"/>
    </row>
    <row r="33" spans="1:5" ht="13.5" customHeight="1">
      <c r="A33" s="676"/>
      <c r="B33" s="677"/>
      <c r="C33" s="677"/>
      <c r="D33" s="677"/>
      <c r="E33" s="174"/>
    </row>
    <row r="34" spans="1:5" ht="11.25" customHeight="1" thickBot="1">
      <c r="A34" s="175"/>
      <c r="B34" s="175"/>
      <c r="C34" s="175"/>
      <c r="D34" s="175"/>
      <c r="E34" s="175"/>
    </row>
    <row r="35" spans="1:5" ht="18" customHeight="1" thickBot="1">
      <c r="A35" s="678" t="s">
        <v>245</v>
      </c>
      <c r="B35" s="679"/>
      <c r="C35" s="679"/>
      <c r="D35" s="680"/>
      <c r="E35" s="162"/>
    </row>
    <row r="36" spans="1:5" ht="18" customHeight="1">
      <c r="A36" s="681" t="s">
        <v>246</v>
      </c>
      <c r="B36" s="682"/>
      <c r="C36" s="682"/>
      <c r="D36" s="683"/>
      <c r="E36" s="176"/>
    </row>
    <row r="37" spans="1:5" ht="18" customHeight="1">
      <c r="A37" s="177" t="s">
        <v>161</v>
      </c>
      <c r="B37" s="178" t="s">
        <v>247</v>
      </c>
      <c r="C37" s="179" t="s">
        <v>248</v>
      </c>
      <c r="D37" s="180" t="s">
        <v>35</v>
      </c>
      <c r="E37" s="181"/>
    </row>
    <row r="38" spans="1:5" ht="18" customHeight="1">
      <c r="A38" s="163" t="s">
        <v>6</v>
      </c>
      <c r="B38" s="167" t="s">
        <v>249</v>
      </c>
      <c r="C38" s="182">
        <f>(1/12)</f>
        <v>8.3333333333333329E-2</v>
      </c>
      <c r="D38" s="170">
        <f>C38*$D$32</f>
        <v>166.99166666666667</v>
      </c>
      <c r="E38" s="169"/>
    </row>
    <row r="39" spans="1:5" ht="18" customHeight="1">
      <c r="A39" s="163" t="s">
        <v>8</v>
      </c>
      <c r="B39" s="167" t="s">
        <v>250</v>
      </c>
      <c r="C39" s="183">
        <v>0.1111</v>
      </c>
      <c r="D39" s="170">
        <f>C39*$D$32</f>
        <v>222.63329000000002</v>
      </c>
      <c r="E39" s="169"/>
    </row>
    <row r="40" spans="1:5" ht="18" customHeight="1" thickBot="1">
      <c r="A40" s="657" t="s">
        <v>251</v>
      </c>
      <c r="B40" s="658"/>
      <c r="C40" s="184">
        <f>SUM(C38:C39)</f>
        <v>0.19443333333333335</v>
      </c>
      <c r="D40" s="172">
        <f>SUM(D38:D39)</f>
        <v>389.62495666666666</v>
      </c>
      <c r="E40" s="173"/>
    </row>
    <row r="41" spans="1:5" ht="15" customHeight="1" thickBot="1">
      <c r="A41" s="684"/>
      <c r="B41" s="685"/>
      <c r="C41" s="685"/>
      <c r="D41" s="685"/>
      <c r="E41" s="185"/>
    </row>
    <row r="42" spans="1:5" ht="18.75" customHeight="1">
      <c r="A42" s="686" t="s">
        <v>252</v>
      </c>
      <c r="B42" s="687"/>
      <c r="C42" s="687"/>
      <c r="D42" s="688"/>
      <c r="E42" s="186"/>
    </row>
    <row r="43" spans="1:5" ht="18" customHeight="1">
      <c r="A43" s="163" t="s">
        <v>162</v>
      </c>
      <c r="B43" s="179" t="s">
        <v>167</v>
      </c>
      <c r="C43" s="179" t="s">
        <v>248</v>
      </c>
      <c r="D43" s="187" t="s">
        <v>35</v>
      </c>
      <c r="E43" s="176"/>
    </row>
    <row r="44" spans="1:5" ht="18" customHeight="1">
      <c r="A44" s="163" t="s">
        <v>6</v>
      </c>
      <c r="B44" s="167" t="s">
        <v>45</v>
      </c>
      <c r="C44" s="367">
        <v>0.2</v>
      </c>
      <c r="D44" s="170">
        <f t="shared" ref="D44:D51" si="0">C44*($D$32+$D$40)</f>
        <v>478.70499133333334</v>
      </c>
      <c r="E44" s="169"/>
    </row>
    <row r="45" spans="1:5" ht="18" customHeight="1">
      <c r="A45" s="163" t="s">
        <v>8</v>
      </c>
      <c r="B45" s="167" t="s">
        <v>253</v>
      </c>
      <c r="C45" s="367">
        <v>2.5000000000000001E-2</v>
      </c>
      <c r="D45" s="170">
        <f t="shared" si="0"/>
        <v>59.838123916666667</v>
      </c>
      <c r="E45" s="169"/>
    </row>
    <row r="46" spans="1:5" ht="18" customHeight="1">
      <c r="A46" s="163" t="s">
        <v>10</v>
      </c>
      <c r="B46" s="167" t="s">
        <v>254</v>
      </c>
      <c r="C46" s="368">
        <v>0.03</v>
      </c>
      <c r="D46" s="170">
        <f t="shared" si="0"/>
        <v>71.805748699999995</v>
      </c>
      <c r="E46" s="169"/>
    </row>
    <row r="47" spans="1:5" ht="18" customHeight="1">
      <c r="A47" s="163" t="s">
        <v>12</v>
      </c>
      <c r="B47" s="167" t="s">
        <v>255</v>
      </c>
      <c r="C47" s="367">
        <v>1.4999999999999999E-2</v>
      </c>
      <c r="D47" s="170">
        <f t="shared" si="0"/>
        <v>35.902874349999998</v>
      </c>
      <c r="E47" s="169"/>
    </row>
    <row r="48" spans="1:5" ht="18" customHeight="1">
      <c r="A48" s="163" t="s">
        <v>14</v>
      </c>
      <c r="B48" s="167" t="s">
        <v>256</v>
      </c>
      <c r="C48" s="367">
        <v>0.01</v>
      </c>
      <c r="D48" s="170">
        <f t="shared" si="0"/>
        <v>23.935249566666666</v>
      </c>
      <c r="E48" s="169"/>
    </row>
    <row r="49" spans="1:13" ht="18" customHeight="1">
      <c r="A49" s="163" t="s">
        <v>17</v>
      </c>
      <c r="B49" s="167" t="s">
        <v>52</v>
      </c>
      <c r="C49" s="367">
        <v>6.0000000000000001E-3</v>
      </c>
      <c r="D49" s="170">
        <f t="shared" si="0"/>
        <v>14.36114974</v>
      </c>
      <c r="E49" s="169"/>
    </row>
    <row r="50" spans="1:13" ht="18" customHeight="1">
      <c r="A50" s="163" t="s">
        <v>19</v>
      </c>
      <c r="B50" s="167" t="s">
        <v>48</v>
      </c>
      <c r="C50" s="367">
        <v>2E-3</v>
      </c>
      <c r="D50" s="170">
        <f t="shared" si="0"/>
        <v>4.7870499133333331</v>
      </c>
      <c r="E50" s="169"/>
    </row>
    <row r="51" spans="1:13" ht="18" customHeight="1">
      <c r="A51" s="163" t="s">
        <v>135</v>
      </c>
      <c r="B51" s="167" t="s">
        <v>50</v>
      </c>
      <c r="C51" s="367">
        <v>0.08</v>
      </c>
      <c r="D51" s="170">
        <f t="shared" si="0"/>
        <v>191.48199653333333</v>
      </c>
      <c r="E51" s="169"/>
    </row>
    <row r="52" spans="1:13" ht="18" customHeight="1" thickBot="1">
      <c r="A52" s="188" t="s">
        <v>152</v>
      </c>
      <c r="B52" s="171"/>
      <c r="C52" s="189">
        <f>SUM(C44:C51)</f>
        <v>0.36800000000000005</v>
      </c>
      <c r="D52" s="172">
        <f>SUM(D44:D51)</f>
        <v>880.81718405333345</v>
      </c>
      <c r="E52" s="173"/>
    </row>
    <row r="53" spans="1:13" ht="33" customHeight="1">
      <c r="A53" s="689" t="s">
        <v>257</v>
      </c>
      <c r="B53" s="690"/>
      <c r="C53" s="690"/>
      <c r="D53" s="690"/>
      <c r="E53" s="190"/>
    </row>
    <row r="54" spans="1:13" ht="24.75" customHeight="1">
      <c r="A54" s="691" t="s">
        <v>258</v>
      </c>
      <c r="B54" s="692"/>
      <c r="C54" s="692"/>
      <c r="D54" s="692"/>
      <c r="E54" s="191"/>
    </row>
    <row r="55" spans="1:13" ht="36" customHeight="1">
      <c r="A55" s="693" t="s">
        <v>259</v>
      </c>
      <c r="B55" s="694"/>
      <c r="C55" s="694"/>
      <c r="D55" s="694"/>
      <c r="E55" s="192"/>
    </row>
    <row r="56" spans="1:13" ht="25.5" customHeight="1">
      <c r="A56" s="691" t="s">
        <v>260</v>
      </c>
      <c r="B56" s="692"/>
      <c r="C56" s="692"/>
      <c r="D56" s="692"/>
      <c r="E56" s="191"/>
    </row>
    <row r="57" spans="1:13" ht="12.75" customHeight="1" thickBot="1">
      <c r="A57" s="695"/>
      <c r="B57" s="696"/>
      <c r="C57" s="696"/>
      <c r="D57" s="696"/>
      <c r="E57" s="155"/>
    </row>
    <row r="58" spans="1:13" ht="18" customHeight="1" thickBot="1">
      <c r="A58" s="673" t="s">
        <v>261</v>
      </c>
      <c r="B58" s="674"/>
      <c r="C58" s="674"/>
      <c r="D58" s="675"/>
      <c r="E58" s="193"/>
    </row>
    <row r="59" spans="1:13" ht="18" customHeight="1">
      <c r="A59" s="194" t="s">
        <v>163</v>
      </c>
      <c r="B59" s="195" t="s">
        <v>262</v>
      </c>
      <c r="C59" s="196" t="s">
        <v>263</v>
      </c>
      <c r="D59" s="197" t="s">
        <v>35</v>
      </c>
      <c r="E59" s="176"/>
    </row>
    <row r="60" spans="1:13" ht="18" customHeight="1">
      <c r="A60" s="163" t="s">
        <v>6</v>
      </c>
      <c r="B60" s="198" t="s">
        <v>264</v>
      </c>
      <c r="C60" s="154">
        <f>'5-BENEFICIOS'!$C$14</f>
        <v>22</v>
      </c>
      <c r="D60" s="199">
        <f>'5-BENEFICIOS'!C24</f>
        <v>0</v>
      </c>
      <c r="E60" s="200"/>
      <c r="F60" s="155"/>
      <c r="J60" s="149"/>
      <c r="M60" s="148"/>
    </row>
    <row r="61" spans="1:13" ht="18" customHeight="1">
      <c r="A61" s="163" t="s">
        <v>8</v>
      </c>
      <c r="B61" s="167" t="s">
        <v>265</v>
      </c>
      <c r="C61" s="154">
        <f>'5-BENEFICIOS'!$C$35</f>
        <v>22</v>
      </c>
      <c r="D61" s="170">
        <f>'5-BENEFICIOS'!C39</f>
        <v>447.48</v>
      </c>
      <c r="E61" s="169"/>
    </row>
    <row r="62" spans="1:13" ht="18" customHeight="1">
      <c r="A62" s="163" t="s">
        <v>10</v>
      </c>
      <c r="B62" s="167" t="s">
        <v>266</v>
      </c>
      <c r="C62" s="154" t="s">
        <v>26</v>
      </c>
      <c r="D62" s="170" cm="1">
        <f t="array" ref="D62:E62">'5-BENEFICIOS'!C30:D30</f>
        <v>151.91</v>
      </c>
      <c r="E62" s="169">
        <v>0</v>
      </c>
      <c r="F62" s="155"/>
      <c r="L62" s="325" t="s">
        <v>134</v>
      </c>
    </row>
    <row r="63" spans="1:13" ht="18" customHeight="1">
      <c r="A63" s="163" t="s">
        <v>12</v>
      </c>
      <c r="B63" s="167" t="s">
        <v>267</v>
      </c>
      <c r="C63" s="154" t="s">
        <v>26</v>
      </c>
      <c r="D63" s="170">
        <v>37.090000000000003</v>
      </c>
      <c r="E63" s="169"/>
    </row>
    <row r="64" spans="1:13" ht="18" customHeight="1">
      <c r="A64" s="163" t="s">
        <v>14</v>
      </c>
      <c r="B64" s="167" t="s">
        <v>268</v>
      </c>
      <c r="C64" s="154" t="s">
        <v>26</v>
      </c>
      <c r="D64" s="366">
        <v>0</v>
      </c>
      <c r="E64" s="169"/>
    </row>
    <row r="65" spans="1:13" ht="18" customHeight="1">
      <c r="A65" s="163" t="s">
        <v>17</v>
      </c>
      <c r="B65" s="167" t="s">
        <v>269</v>
      </c>
      <c r="C65" s="154" t="s">
        <v>26</v>
      </c>
      <c r="D65" s="366">
        <v>0</v>
      </c>
      <c r="E65" s="169"/>
    </row>
    <row r="66" spans="1:13" ht="18" customHeight="1">
      <c r="A66" s="201" t="s">
        <v>19</v>
      </c>
      <c r="B66" s="202" t="s">
        <v>369</v>
      </c>
      <c r="C66" s="154" t="s">
        <v>26</v>
      </c>
      <c r="D66" s="170">
        <f>'5-BENEFICIOS'!C43</f>
        <v>315</v>
      </c>
      <c r="E66" s="169"/>
    </row>
    <row r="67" spans="1:13" ht="18" customHeight="1">
      <c r="A67" s="201" t="s">
        <v>135</v>
      </c>
      <c r="B67" s="202" t="s">
        <v>370</v>
      </c>
      <c r="C67" s="203" t="s">
        <v>26</v>
      </c>
      <c r="D67" s="204">
        <f>'5-BENEFICIOS'!D42</f>
        <v>29.7</v>
      </c>
      <c r="E67" s="169"/>
    </row>
    <row r="68" spans="1:13" ht="18" customHeight="1">
      <c r="A68" s="201" t="s">
        <v>32</v>
      </c>
      <c r="B68" s="202" t="s">
        <v>371</v>
      </c>
      <c r="C68" s="203" t="s">
        <v>26</v>
      </c>
      <c r="D68" s="204">
        <f>'5-BENEFICIOS'!D45</f>
        <v>105.33</v>
      </c>
      <c r="E68" s="169"/>
    </row>
    <row r="69" spans="1:13" ht="18" customHeight="1">
      <c r="A69" s="201" t="s">
        <v>232</v>
      </c>
      <c r="B69" s="202" t="str">
        <f>CONCATENATE("Outros benefícios - ",'5-BENEFICIOS'!B46)</f>
        <v>Outros benefícios - OUTROS BENEFICIOS (ESPECIFICAR)</v>
      </c>
      <c r="C69" s="203" t="s">
        <v>26</v>
      </c>
      <c r="D69" s="204">
        <f>'5-BENEFICIOS'!C46</f>
        <v>0</v>
      </c>
      <c r="E69" s="169"/>
    </row>
    <row r="70" spans="1:13" ht="18" customHeight="1" thickBot="1">
      <c r="A70" s="188" t="s">
        <v>152</v>
      </c>
      <c r="B70" s="171"/>
      <c r="C70" s="171"/>
      <c r="D70" s="172">
        <f>SUM(D60:D68)</f>
        <v>1086.51</v>
      </c>
      <c r="E70" s="173"/>
    </row>
    <row r="71" spans="1:13" ht="15" customHeight="1" thickBot="1">
      <c r="A71" s="699"/>
      <c r="B71" s="700"/>
      <c r="C71" s="700"/>
      <c r="D71" s="700"/>
      <c r="E71" s="155"/>
    </row>
    <row r="72" spans="1:13" ht="18" customHeight="1" thickBot="1">
      <c r="A72" s="673" t="s">
        <v>270</v>
      </c>
      <c r="B72" s="674"/>
      <c r="C72" s="674"/>
      <c r="D72" s="675"/>
      <c r="E72" s="193"/>
    </row>
    <row r="73" spans="1:13" ht="18" customHeight="1">
      <c r="A73" s="194">
        <v>2</v>
      </c>
      <c r="B73" s="205" t="s">
        <v>271</v>
      </c>
      <c r="C73" s="205"/>
      <c r="D73" s="197" t="s">
        <v>35</v>
      </c>
      <c r="E73" s="176"/>
    </row>
    <row r="74" spans="1:13" ht="18" customHeight="1">
      <c r="A74" s="163" t="s">
        <v>161</v>
      </c>
      <c r="B74" s="198" t="s">
        <v>247</v>
      </c>
      <c r="C74" s="198"/>
      <c r="D74" s="170">
        <f>D40</f>
        <v>389.62495666666666</v>
      </c>
      <c r="E74" s="169"/>
    </row>
    <row r="75" spans="1:13" ht="18" customHeight="1">
      <c r="A75" s="163" t="s">
        <v>162</v>
      </c>
      <c r="B75" s="167" t="s">
        <v>167</v>
      </c>
      <c r="C75" s="167"/>
      <c r="D75" s="170">
        <f>D52</f>
        <v>880.81718405333345</v>
      </c>
      <c r="E75" s="169"/>
    </row>
    <row r="76" spans="1:13" ht="18" customHeight="1">
      <c r="A76" s="163" t="s">
        <v>163</v>
      </c>
      <c r="B76" s="167" t="s">
        <v>262</v>
      </c>
      <c r="C76" s="167"/>
      <c r="D76" s="170">
        <f>D70</f>
        <v>1086.51</v>
      </c>
      <c r="E76" s="169"/>
    </row>
    <row r="77" spans="1:13" ht="18" customHeight="1" thickBot="1">
      <c r="A77" s="188" t="s">
        <v>152</v>
      </c>
      <c r="B77" s="171"/>
      <c r="C77" s="171"/>
      <c r="D77" s="172">
        <f>SUM(D74:D76)</f>
        <v>2356.95214072</v>
      </c>
      <c r="E77" s="173"/>
    </row>
    <row r="78" spans="1:13" ht="15" customHeight="1" thickBot="1">
      <c r="A78" s="697"/>
      <c r="B78" s="698"/>
      <c r="C78" s="698"/>
      <c r="D78" s="698"/>
      <c r="E78" s="155"/>
      <c r="M78" s="206"/>
    </row>
    <row r="79" spans="1:13" ht="18" customHeight="1" thickBot="1">
      <c r="A79" s="701" t="s">
        <v>272</v>
      </c>
      <c r="B79" s="702"/>
      <c r="C79" s="702"/>
      <c r="D79" s="703"/>
      <c r="E79" s="207"/>
      <c r="M79" s="206"/>
    </row>
    <row r="80" spans="1:13" ht="18" customHeight="1">
      <c r="A80" s="194">
        <v>3</v>
      </c>
      <c r="B80" s="195" t="s">
        <v>273</v>
      </c>
      <c r="C80" s="195" t="s">
        <v>248</v>
      </c>
      <c r="D80" s="197" t="s">
        <v>35</v>
      </c>
      <c r="E80" s="176"/>
      <c r="M80" s="206"/>
    </row>
    <row r="81" spans="1:13" ht="18" customHeight="1">
      <c r="A81" s="163" t="s">
        <v>6</v>
      </c>
      <c r="B81" s="198" t="s">
        <v>168</v>
      </c>
      <c r="C81" s="369">
        <f>((1/12)*0.05)</f>
        <v>4.1666666666666666E-3</v>
      </c>
      <c r="D81" s="170">
        <f>C81*($D$32)</f>
        <v>8.3495833333333334</v>
      </c>
      <c r="E81" s="169"/>
    </row>
    <row r="82" spans="1:13" ht="18" customHeight="1">
      <c r="A82" s="163" t="s">
        <v>8</v>
      </c>
      <c r="B82" s="198" t="s">
        <v>274</v>
      </c>
      <c r="C82" s="369">
        <f>C51*C81</f>
        <v>3.3333333333333332E-4</v>
      </c>
      <c r="D82" s="170">
        <f t="shared" ref="D82:D86" si="1">C82*($D$32)</f>
        <v>0.66796666666666671</v>
      </c>
      <c r="E82" s="169"/>
    </row>
    <row r="83" spans="1:13" ht="18" customHeight="1">
      <c r="A83" s="163" t="s">
        <v>10</v>
      </c>
      <c r="B83" s="198" t="s">
        <v>275</v>
      </c>
      <c r="C83" s="370">
        <v>0.02</v>
      </c>
      <c r="D83" s="170">
        <f t="shared" si="1"/>
        <v>40.078000000000003</v>
      </c>
      <c r="E83" s="169"/>
      <c r="M83" s="206"/>
    </row>
    <row r="84" spans="1:13" ht="18" customHeight="1">
      <c r="A84" s="163" t="s">
        <v>12</v>
      </c>
      <c r="B84" s="198" t="s">
        <v>276</v>
      </c>
      <c r="C84" s="370">
        <f>(7/30)/12</f>
        <v>1.9444444444444445E-2</v>
      </c>
      <c r="D84" s="170">
        <f>C84*($D$32)</f>
        <v>38.964722222222221</v>
      </c>
      <c r="E84" s="169"/>
    </row>
    <row r="85" spans="1:13" ht="18" customHeight="1">
      <c r="A85" s="163" t="s">
        <v>14</v>
      </c>
      <c r="B85" s="198" t="s">
        <v>277</v>
      </c>
      <c r="C85" s="370">
        <f>C84*C52</f>
        <v>7.1555555555555565E-3</v>
      </c>
      <c r="D85" s="170">
        <f>C85*($D$32)</f>
        <v>14.33901777777778</v>
      </c>
      <c r="E85" s="169"/>
    </row>
    <row r="86" spans="1:13" ht="18" customHeight="1">
      <c r="A86" s="163" t="s">
        <v>17</v>
      </c>
      <c r="B86" s="198" t="s">
        <v>278</v>
      </c>
      <c r="C86" s="371">
        <v>0.02</v>
      </c>
      <c r="D86" s="170">
        <f t="shared" si="1"/>
        <v>40.078000000000003</v>
      </c>
      <c r="E86" s="169"/>
    </row>
    <row r="87" spans="1:13" ht="18" customHeight="1" thickBot="1">
      <c r="A87" s="188" t="s">
        <v>152</v>
      </c>
      <c r="B87" s="171"/>
      <c r="C87" s="208">
        <f>SUM(C81:C86)</f>
        <v>7.1099999999999997E-2</v>
      </c>
      <c r="D87" s="172">
        <f>SUM(D81:D86)</f>
        <v>142.47729000000001</v>
      </c>
      <c r="E87" s="173"/>
    </row>
    <row r="88" spans="1:13" ht="51" customHeight="1">
      <c r="A88" s="704" t="s">
        <v>279</v>
      </c>
      <c r="B88" s="705"/>
      <c r="C88" s="705"/>
      <c r="D88" s="705"/>
      <c r="E88" s="209"/>
    </row>
    <row r="89" spans="1:13" ht="15" customHeight="1" thickBot="1">
      <c r="A89" s="699"/>
      <c r="B89" s="700"/>
      <c r="C89" s="700"/>
      <c r="D89" s="700"/>
      <c r="E89" s="155"/>
    </row>
    <row r="90" spans="1:13" ht="18" customHeight="1" thickBot="1">
      <c r="A90" s="701" t="s">
        <v>280</v>
      </c>
      <c r="B90" s="702"/>
      <c r="C90" s="702"/>
      <c r="D90" s="703"/>
      <c r="E90" s="207"/>
    </row>
    <row r="91" spans="1:13" ht="34.5" customHeight="1" thickBot="1">
      <c r="A91" s="706" t="s">
        <v>281</v>
      </c>
      <c r="B91" s="707"/>
      <c r="C91" s="707"/>
      <c r="D91" s="707"/>
      <c r="E91" s="210"/>
    </row>
    <row r="92" spans="1:13" ht="16.5" customHeight="1">
      <c r="A92" s="708" t="s">
        <v>282</v>
      </c>
      <c r="B92" s="709"/>
      <c r="C92" s="709"/>
      <c r="D92" s="710"/>
      <c r="E92" s="211"/>
    </row>
    <row r="93" spans="1:13" ht="18" customHeight="1">
      <c r="A93" s="163" t="s">
        <v>164</v>
      </c>
      <c r="B93" s="179" t="s">
        <v>283</v>
      </c>
      <c r="C93" s="179" t="s">
        <v>248</v>
      </c>
      <c r="D93" s="187" t="s">
        <v>35</v>
      </c>
      <c r="E93" s="176"/>
    </row>
    <row r="94" spans="1:13" ht="18" customHeight="1">
      <c r="A94" s="212" t="s">
        <v>6</v>
      </c>
      <c r="B94" s="198" t="s">
        <v>284</v>
      </c>
      <c r="C94" s="372">
        <f>((1/12)+(1/12)+(1/3/12))/12</f>
        <v>1.6203703703703703E-2</v>
      </c>
      <c r="D94" s="170">
        <f t="shared" ref="D94:D99" si="2">C94*($D$32)</f>
        <v>32.470601851851853</v>
      </c>
      <c r="E94" s="169"/>
    </row>
    <row r="95" spans="1:13" ht="18" customHeight="1">
      <c r="A95" s="212" t="s">
        <v>8</v>
      </c>
      <c r="B95" s="198" t="s">
        <v>285</v>
      </c>
      <c r="C95" s="372">
        <f>(2/30)/12</f>
        <v>5.5555555555555558E-3</v>
      </c>
      <c r="D95" s="170">
        <f t="shared" si="2"/>
        <v>11.132777777777779</v>
      </c>
      <c r="E95" s="169"/>
    </row>
    <row r="96" spans="1:13" ht="18" customHeight="1">
      <c r="A96" s="212" t="s">
        <v>10</v>
      </c>
      <c r="B96" s="198" t="s">
        <v>286</v>
      </c>
      <c r="C96" s="372">
        <f>((5/30)/12)*0.02</f>
        <v>2.7777777777777778E-4</v>
      </c>
      <c r="D96" s="170">
        <f t="shared" si="2"/>
        <v>0.55663888888888891</v>
      </c>
      <c r="E96" s="169"/>
    </row>
    <row r="97" spans="1:6" ht="18" customHeight="1">
      <c r="A97" s="212" t="s">
        <v>12</v>
      </c>
      <c r="B97" s="198" t="s">
        <v>287</v>
      </c>
      <c r="C97" s="372">
        <f>(((15/30)/12)*0.0078)</f>
        <v>3.2499999999999999E-4</v>
      </c>
      <c r="D97" s="170">
        <f t="shared" si="2"/>
        <v>0.6512675</v>
      </c>
      <c r="E97" s="169"/>
    </row>
    <row r="98" spans="1:6" ht="18" customHeight="1">
      <c r="A98" s="212" t="s">
        <v>14</v>
      </c>
      <c r="B98" s="198" t="s">
        <v>288</v>
      </c>
      <c r="C98" s="372">
        <f>((1+1/3)/12)*0.02*((4/12))</f>
        <v>7.407407407407407E-4</v>
      </c>
      <c r="D98" s="170">
        <f t="shared" si="2"/>
        <v>1.4843703703703703</v>
      </c>
      <c r="E98" s="169"/>
    </row>
    <row r="99" spans="1:6" ht="18" customHeight="1">
      <c r="A99" s="212" t="s">
        <v>17</v>
      </c>
      <c r="B99" s="198" t="s">
        <v>289</v>
      </c>
      <c r="C99" s="372">
        <v>0</v>
      </c>
      <c r="D99" s="170">
        <f t="shared" si="2"/>
        <v>0</v>
      </c>
      <c r="E99" s="169"/>
    </row>
    <row r="100" spans="1:6" ht="18" customHeight="1">
      <c r="A100" s="711" t="s">
        <v>290</v>
      </c>
      <c r="B100" s="712"/>
      <c r="C100" s="213">
        <f>SUM(C94:C99)</f>
        <v>2.3102777777777774E-2</v>
      </c>
      <c r="D100" s="214">
        <f>SUM(D94:D99)</f>
        <v>46.295656388888894</v>
      </c>
      <c r="E100" s="215"/>
      <c r="F100" s="216"/>
    </row>
    <row r="101" spans="1:6" ht="18" customHeight="1">
      <c r="A101" s="212" t="s">
        <v>32</v>
      </c>
      <c r="B101" s="198" t="s">
        <v>291</v>
      </c>
      <c r="C101" s="217">
        <f>C100*C52</f>
        <v>8.5018222222222224E-3</v>
      </c>
      <c r="D101" s="199">
        <f>C101*($D$32)</f>
        <v>17.036801551111111</v>
      </c>
      <c r="E101" s="200"/>
    </row>
    <row r="102" spans="1:6" ht="18" customHeight="1" thickBot="1">
      <c r="A102" s="713" t="s">
        <v>152</v>
      </c>
      <c r="B102" s="714"/>
      <c r="C102" s="218">
        <f>SUM(C100:C101)</f>
        <v>3.1604599999999997E-2</v>
      </c>
      <c r="D102" s="219">
        <f>SUM(D100:D101)</f>
        <v>63.332457940000005</v>
      </c>
      <c r="E102" s="220"/>
      <c r="F102" s="216"/>
    </row>
    <row r="103" spans="1:6" ht="15" customHeight="1" thickBot="1">
      <c r="A103" s="697"/>
      <c r="B103" s="698"/>
      <c r="C103" s="698"/>
      <c r="D103" s="698"/>
      <c r="E103" s="155"/>
    </row>
    <row r="104" spans="1:6" ht="15" customHeight="1">
      <c r="A104" s="681" t="s">
        <v>292</v>
      </c>
      <c r="B104" s="682"/>
      <c r="C104" s="682"/>
      <c r="D104" s="683"/>
      <c r="E104" s="176"/>
    </row>
    <row r="105" spans="1:6" ht="15" customHeight="1">
      <c r="A105" s="221" t="s">
        <v>165</v>
      </c>
      <c r="B105" s="222" t="s">
        <v>293</v>
      </c>
      <c r="C105" s="222" t="s">
        <v>35</v>
      </c>
      <c r="D105" s="223"/>
      <c r="E105" s="224"/>
    </row>
    <row r="106" spans="1:6" ht="15" customHeight="1">
      <c r="A106" s="221" t="s">
        <v>6</v>
      </c>
      <c r="B106" s="225" t="s">
        <v>294</v>
      </c>
      <c r="C106" s="226">
        <v>0</v>
      </c>
      <c r="D106" s="227">
        <v>0</v>
      </c>
      <c r="E106" s="228"/>
    </row>
    <row r="107" spans="1:6" ht="15" customHeight="1" thickBot="1">
      <c r="A107" s="715" t="s">
        <v>152</v>
      </c>
      <c r="B107" s="716"/>
      <c r="C107" s="229">
        <f>SUM(C106)</f>
        <v>0</v>
      </c>
      <c r="D107" s="230">
        <f>SUM(D106)</f>
        <v>0</v>
      </c>
      <c r="E107" s="231"/>
    </row>
    <row r="108" spans="1:6" ht="15" customHeight="1" thickBot="1">
      <c r="A108" s="697"/>
      <c r="B108" s="698"/>
      <c r="C108" s="698"/>
      <c r="D108" s="698"/>
      <c r="E108" s="155"/>
    </row>
    <row r="109" spans="1:6" ht="15" customHeight="1">
      <c r="A109" s="681" t="s">
        <v>295</v>
      </c>
      <c r="B109" s="682"/>
      <c r="C109" s="682"/>
      <c r="D109" s="683"/>
      <c r="E109" s="176"/>
    </row>
    <row r="110" spans="1:6" ht="18" customHeight="1">
      <c r="A110" s="163">
        <v>4</v>
      </c>
      <c r="B110" s="232" t="s">
        <v>296</v>
      </c>
      <c r="C110" s="232"/>
      <c r="D110" s="187" t="s">
        <v>35</v>
      </c>
      <c r="E110" s="176"/>
    </row>
    <row r="111" spans="1:6" ht="18" customHeight="1">
      <c r="A111" s="163" t="s">
        <v>164</v>
      </c>
      <c r="B111" s="167" t="s">
        <v>283</v>
      </c>
      <c r="C111" s="167"/>
      <c r="D111" s="170">
        <f>D102</f>
        <v>63.332457940000005</v>
      </c>
      <c r="E111" s="169"/>
    </row>
    <row r="112" spans="1:6" ht="18" customHeight="1">
      <c r="A112" s="221" t="s">
        <v>165</v>
      </c>
      <c r="B112" s="233" t="s">
        <v>297</v>
      </c>
      <c r="C112" s="233"/>
      <c r="D112" s="227">
        <f>C107</f>
        <v>0</v>
      </c>
      <c r="E112" s="228"/>
    </row>
    <row r="113" spans="1:10" ht="18" customHeight="1" thickBot="1">
      <c r="A113" s="188" t="s">
        <v>152</v>
      </c>
      <c r="B113" s="171"/>
      <c r="C113" s="171"/>
      <c r="D113" s="172">
        <f>SUM(D111:D112)</f>
        <v>63.332457940000005</v>
      </c>
      <c r="E113" s="173"/>
    </row>
    <row r="114" spans="1:10" ht="15" customHeight="1" thickBot="1">
      <c r="A114" s="697"/>
      <c r="B114" s="698"/>
      <c r="C114" s="698"/>
      <c r="D114" s="698"/>
      <c r="E114" s="155"/>
    </row>
    <row r="115" spans="1:10" ht="18" customHeight="1" thickBot="1">
      <c r="A115" s="701" t="s">
        <v>298</v>
      </c>
      <c r="B115" s="702"/>
      <c r="C115" s="702"/>
      <c r="D115" s="703"/>
      <c r="E115" s="207"/>
    </row>
    <row r="116" spans="1:10" s="149" customFormat="1" ht="18" customHeight="1">
      <c r="A116" s="194">
        <v>5</v>
      </c>
      <c r="B116" s="205" t="s">
        <v>299</v>
      </c>
      <c r="C116" s="205"/>
      <c r="D116" s="197" t="s">
        <v>35</v>
      </c>
      <c r="E116" s="176"/>
      <c r="F116" s="148"/>
      <c r="G116" s="148"/>
      <c r="H116" s="148"/>
      <c r="I116" s="148"/>
      <c r="J116" s="148"/>
    </row>
    <row r="117" spans="1:10" s="149" customFormat="1" ht="18" customHeight="1">
      <c r="A117" s="163" t="s">
        <v>6</v>
      </c>
      <c r="B117" s="167" t="s">
        <v>80</v>
      </c>
      <c r="C117" s="167"/>
      <c r="D117" s="170">
        <f>'6-CUSTOS UNIFORMES'!F23+'6-CUSTOS UNIFORMES'!F37</f>
        <v>0</v>
      </c>
      <c r="E117" s="169"/>
      <c r="F117" s="148"/>
      <c r="G117" s="148"/>
      <c r="H117" s="148"/>
      <c r="I117" s="148"/>
      <c r="J117" s="148"/>
    </row>
    <row r="118" spans="1:10" s="149" customFormat="1" ht="18" customHeight="1">
      <c r="A118" s="163" t="s">
        <v>8</v>
      </c>
      <c r="B118" s="167" t="s">
        <v>166</v>
      </c>
      <c r="C118" s="167"/>
      <c r="D118" s="170">
        <f>'7-CUSTOS MATERIAIS E EQUIP.'!G64</f>
        <v>0</v>
      </c>
      <c r="E118" s="169"/>
      <c r="F118" s="148"/>
      <c r="G118" s="148"/>
      <c r="H118" s="126"/>
      <c r="I118" s="126"/>
      <c r="J118" s="126"/>
    </row>
    <row r="119" spans="1:10" s="149" customFormat="1" ht="18" customHeight="1">
      <c r="A119" s="163" t="s">
        <v>10</v>
      </c>
      <c r="B119" s="167" t="s">
        <v>300</v>
      </c>
      <c r="C119" s="167"/>
      <c r="D119" s="170">
        <f>'7-CUSTOS MATERIAIS E EQUIP.'!G99</f>
        <v>0</v>
      </c>
      <c r="E119" s="169"/>
      <c r="F119" s="148"/>
      <c r="G119" s="148"/>
      <c r="H119" s="126"/>
      <c r="I119" s="126"/>
      <c r="J119" s="126"/>
    </row>
    <row r="120" spans="1:10" s="149" customFormat="1" ht="18" customHeight="1">
      <c r="A120" s="163" t="s">
        <v>12</v>
      </c>
      <c r="B120" s="373" t="s">
        <v>83</v>
      </c>
      <c r="C120" s="167"/>
      <c r="D120" s="366">
        <v>0</v>
      </c>
      <c r="E120" s="169"/>
      <c r="F120" s="148"/>
      <c r="G120" s="148"/>
      <c r="H120" s="126"/>
      <c r="I120" s="126"/>
      <c r="J120" s="126"/>
    </row>
    <row r="121" spans="1:10" s="149" customFormat="1" ht="18" customHeight="1" thickBot="1">
      <c r="A121" s="188" t="s">
        <v>152</v>
      </c>
      <c r="B121" s="171"/>
      <c r="C121" s="171"/>
      <c r="D121" s="172">
        <f>SUM(D117:D120)</f>
        <v>0</v>
      </c>
      <c r="E121" s="173"/>
      <c r="F121" s="148"/>
      <c r="G121" s="148"/>
      <c r="H121" s="126"/>
      <c r="I121" s="126"/>
      <c r="J121" s="126"/>
    </row>
    <row r="122" spans="1:10" s="149" customFormat="1" ht="15" customHeight="1" thickBot="1">
      <c r="A122" s="699"/>
      <c r="B122" s="700"/>
      <c r="C122" s="700"/>
      <c r="D122" s="700"/>
      <c r="E122" s="155"/>
      <c r="F122" s="148"/>
      <c r="G122" s="148"/>
      <c r="H122" s="148"/>
      <c r="I122" s="148"/>
      <c r="J122" s="148"/>
    </row>
    <row r="123" spans="1:10" s="149" customFormat="1" ht="18" customHeight="1" thickBot="1">
      <c r="A123" s="701" t="s">
        <v>301</v>
      </c>
      <c r="B123" s="702"/>
      <c r="C123" s="702"/>
      <c r="D123" s="703"/>
      <c r="E123" s="207"/>
      <c r="F123" s="148"/>
      <c r="G123" s="148"/>
      <c r="H123" s="148"/>
      <c r="I123" s="148"/>
      <c r="J123" s="148"/>
    </row>
    <row r="124" spans="1:10" s="149" customFormat="1" ht="31.5" customHeight="1">
      <c r="A124" s="717" t="s">
        <v>302</v>
      </c>
      <c r="B124" s="718"/>
      <c r="C124" s="374" t="s">
        <v>432</v>
      </c>
      <c r="D124" s="234" t="str">
        <f>C124</f>
        <v>Lucro presumido</v>
      </c>
      <c r="E124" s="235"/>
      <c r="F124" s="148"/>
      <c r="G124" s="148"/>
      <c r="H124" s="148"/>
      <c r="I124" s="148"/>
      <c r="J124" s="148"/>
    </row>
    <row r="125" spans="1:10" s="149" customFormat="1" ht="18" customHeight="1">
      <c r="A125" s="163">
        <v>6</v>
      </c>
      <c r="B125" s="179" t="s">
        <v>303</v>
      </c>
      <c r="C125" s="179" t="s">
        <v>248</v>
      </c>
      <c r="D125" s="187" t="s">
        <v>35</v>
      </c>
      <c r="E125" s="176"/>
      <c r="F125" s="148"/>
      <c r="G125" s="148"/>
      <c r="H125" s="148"/>
      <c r="I125" s="148"/>
      <c r="J125" s="148"/>
    </row>
    <row r="126" spans="1:10" s="149" customFormat="1" ht="18" customHeight="1">
      <c r="A126" s="212" t="s">
        <v>6</v>
      </c>
      <c r="B126" s="236" t="s">
        <v>304</v>
      </c>
      <c r="C126" s="375">
        <v>0</v>
      </c>
      <c r="D126" s="238">
        <f>$C126*D$144</f>
        <v>0</v>
      </c>
      <c r="E126" s="173"/>
      <c r="F126" s="148"/>
      <c r="G126" s="148"/>
      <c r="H126" s="148"/>
      <c r="I126" s="148"/>
      <c r="J126" s="148"/>
    </row>
    <row r="127" spans="1:10" s="149" customFormat="1" ht="18" customHeight="1">
      <c r="A127" s="212" t="s">
        <v>8</v>
      </c>
      <c r="B127" s="236" t="s">
        <v>99</v>
      </c>
      <c r="C127" s="375">
        <v>0</v>
      </c>
      <c r="D127" s="238">
        <f>$C127*(D$144+D126)</f>
        <v>0</v>
      </c>
      <c r="E127" s="173"/>
      <c r="F127" s="148"/>
      <c r="G127" s="148"/>
      <c r="H127" s="148"/>
      <c r="I127" s="148"/>
      <c r="J127" s="148"/>
    </row>
    <row r="128" spans="1:10" s="149" customFormat="1" ht="18" customHeight="1">
      <c r="A128" s="239" t="s">
        <v>10</v>
      </c>
      <c r="B128" s="240" t="s">
        <v>305</v>
      </c>
      <c r="C128" s="237">
        <f>SUM(C129:C132)</f>
        <v>8.6499999999999994E-2</v>
      </c>
      <c r="D128" s="238">
        <f>SUM(D129:D132)</f>
        <v>432.42063860874663</v>
      </c>
      <c r="E128" s="173"/>
      <c r="F128" s="148"/>
      <c r="G128" s="148"/>
      <c r="H128" s="148"/>
      <c r="I128" s="216"/>
      <c r="J128" s="148"/>
    </row>
    <row r="129" spans="1:10" s="149" customFormat="1" ht="18" customHeight="1">
      <c r="A129" s="212" t="s">
        <v>306</v>
      </c>
      <c r="B129" s="167" t="s">
        <v>307</v>
      </c>
      <c r="C129" s="376" cm="1">
        <f t="array" ref="C129">_xlfn.IFS(C124="Lucro presumido",0.65%,C124="Lucro real",1.65%,C124="Outros",0%)</f>
        <v>6.5000000000000006E-3</v>
      </c>
      <c r="D129" s="241">
        <f>($D$144+$D$126+$D$127)*C129/(1-$C$128)</f>
        <v>32.494036427246854</v>
      </c>
      <c r="E129" s="242"/>
      <c r="F129" s="148"/>
      <c r="G129" s="148"/>
      <c r="H129" s="148"/>
      <c r="I129" s="216"/>
      <c r="J129" s="148"/>
    </row>
    <row r="130" spans="1:10" s="149" customFormat="1" ht="18" customHeight="1">
      <c r="A130" s="212" t="s">
        <v>308</v>
      </c>
      <c r="B130" s="167" t="s">
        <v>309</v>
      </c>
      <c r="C130" s="376" cm="1">
        <f t="array" ref="C130">_xlfn.IFS(C124="Lucro presumido",3%,C124="Lucro real",7.6%,C124="Outros",0%)</f>
        <v>0.03</v>
      </c>
      <c r="D130" s="241">
        <f>($D$144+$D$126+$D$127)*C130/(1-$C$128)</f>
        <v>149.97247581806241</v>
      </c>
      <c r="E130" s="242"/>
      <c r="F130" s="148"/>
      <c r="G130" s="148"/>
      <c r="H130" s="148"/>
      <c r="I130" s="148"/>
      <c r="J130" s="216"/>
    </row>
    <row r="131" spans="1:10" s="149" customFormat="1" ht="18" customHeight="1">
      <c r="A131" s="212" t="s">
        <v>310</v>
      </c>
      <c r="B131" s="167" t="s">
        <v>311</v>
      </c>
      <c r="C131" s="376">
        <v>0.05</v>
      </c>
      <c r="D131" s="241">
        <f>($D$144+$D$126+$D$127)*C131/(1-$C$128)</f>
        <v>249.95412636343735</v>
      </c>
      <c r="E131" s="242"/>
      <c r="F131" s="148"/>
      <c r="G131" s="148"/>
      <c r="H131" s="148"/>
      <c r="I131" s="148"/>
      <c r="J131" s="216"/>
    </row>
    <row r="132" spans="1:10" s="149" customFormat="1" ht="18" customHeight="1">
      <c r="A132" s="243" t="s">
        <v>312</v>
      </c>
      <c r="B132" s="244" t="s">
        <v>313</v>
      </c>
      <c r="C132" s="376">
        <v>0</v>
      </c>
      <c r="D132" s="245">
        <f>($D$144+$D$126+$D$127)*C132/(1-$C$128)</f>
        <v>0</v>
      </c>
      <c r="E132" s="246"/>
      <c r="F132" s="148"/>
      <c r="G132" s="148"/>
      <c r="H132" s="148"/>
      <c r="I132" s="148"/>
      <c r="J132" s="216"/>
    </row>
    <row r="133" spans="1:10" s="149" customFormat="1" ht="18" customHeight="1" thickBot="1">
      <c r="A133" s="188" t="s">
        <v>152</v>
      </c>
      <c r="B133" s="171"/>
      <c r="C133" s="247">
        <f>SUM(C126:C128)</f>
        <v>8.6499999999999994E-2</v>
      </c>
      <c r="D133" s="248">
        <f>SUM(D126:D128)</f>
        <v>432.42063860874663</v>
      </c>
      <c r="E133" s="249"/>
      <c r="F133" s="148"/>
      <c r="G133" s="148"/>
      <c r="H133" s="148"/>
      <c r="I133" s="148"/>
      <c r="J133" s="216"/>
    </row>
    <row r="134" spans="1:10" s="149" customFormat="1" ht="21.75" customHeight="1">
      <c r="A134" s="719" t="s">
        <v>314</v>
      </c>
      <c r="B134" s="720"/>
      <c r="C134" s="720"/>
      <c r="D134" s="720"/>
      <c r="E134" s="250"/>
      <c r="F134" s="148"/>
      <c r="G134" s="148"/>
      <c r="H134" s="148"/>
      <c r="I134" s="148"/>
      <c r="J134" s="216"/>
    </row>
    <row r="135" spans="1:10" s="149" customFormat="1" ht="25.5" customHeight="1">
      <c r="A135" s="689" t="s">
        <v>315</v>
      </c>
      <c r="B135" s="690"/>
      <c r="C135" s="690"/>
      <c r="D135" s="690"/>
      <c r="E135" s="190"/>
      <c r="F135" s="148"/>
      <c r="G135" s="148"/>
      <c r="H135" s="148"/>
      <c r="I135" s="148"/>
      <c r="J135" s="216"/>
    </row>
    <row r="136" spans="1:10" s="149" customFormat="1" ht="15" customHeight="1" thickBot="1">
      <c r="A136" s="699"/>
      <c r="B136" s="700"/>
      <c r="C136" s="700"/>
      <c r="D136" s="700"/>
      <c r="E136" s="155"/>
      <c r="F136" s="148"/>
      <c r="G136" s="148"/>
      <c r="H136" s="148"/>
      <c r="I136" s="148"/>
      <c r="J136" s="148"/>
    </row>
    <row r="137" spans="1:10" s="149" customFormat="1" ht="18" customHeight="1" thickBot="1">
      <c r="A137" s="701" t="s">
        <v>316</v>
      </c>
      <c r="B137" s="702"/>
      <c r="C137" s="702"/>
      <c r="D137" s="702"/>
      <c r="E137" s="207"/>
      <c r="F137" s="148"/>
      <c r="G137" s="148"/>
      <c r="H137" s="148"/>
      <c r="I137" s="148"/>
      <c r="J137" s="148"/>
    </row>
    <row r="138" spans="1:10" s="149" customFormat="1" ht="18" customHeight="1">
      <c r="A138" s="681" t="s">
        <v>317</v>
      </c>
      <c r="B138" s="721"/>
      <c r="C138" s="205"/>
      <c r="D138" s="251" t="s">
        <v>318</v>
      </c>
      <c r="E138" s="176"/>
      <c r="F138" s="148"/>
      <c r="G138" s="148"/>
      <c r="H138" s="148"/>
      <c r="I138" s="148"/>
      <c r="J138" s="216"/>
    </row>
    <row r="139" spans="1:10" s="149" customFormat="1" ht="18" customHeight="1">
      <c r="A139" s="212" t="s">
        <v>6</v>
      </c>
      <c r="B139" s="198" t="s">
        <v>241</v>
      </c>
      <c r="C139" s="198"/>
      <c r="D139" s="252">
        <f>D32</f>
        <v>2003.9</v>
      </c>
      <c r="E139" s="253"/>
      <c r="F139" s="148"/>
      <c r="G139" s="148"/>
      <c r="H139" s="216"/>
      <c r="I139" s="148"/>
      <c r="J139" s="148"/>
    </row>
    <row r="140" spans="1:10" s="149" customFormat="1" ht="18" customHeight="1">
      <c r="A140" s="212" t="s">
        <v>8</v>
      </c>
      <c r="B140" s="198" t="s">
        <v>245</v>
      </c>
      <c r="C140" s="198"/>
      <c r="D140" s="252">
        <f>D77</f>
        <v>2356.95214072</v>
      </c>
      <c r="E140" s="253"/>
      <c r="F140" s="148"/>
      <c r="G140" s="148"/>
      <c r="H140" s="148"/>
      <c r="I140" s="148"/>
      <c r="J140" s="216"/>
    </row>
    <row r="141" spans="1:10" s="149" customFormat="1" ht="18" customHeight="1">
      <c r="A141" s="212" t="s">
        <v>10</v>
      </c>
      <c r="B141" s="198" t="s">
        <v>272</v>
      </c>
      <c r="C141" s="198"/>
      <c r="D141" s="252">
        <f>D87</f>
        <v>142.47729000000001</v>
      </c>
      <c r="E141" s="253"/>
      <c r="F141" s="148"/>
      <c r="G141" s="148"/>
      <c r="H141" s="148"/>
      <c r="I141" s="148"/>
      <c r="J141" s="216"/>
    </row>
    <row r="142" spans="1:10" s="149" customFormat="1" ht="18" customHeight="1">
      <c r="A142" s="212" t="s">
        <v>12</v>
      </c>
      <c r="B142" s="198" t="s">
        <v>319</v>
      </c>
      <c r="C142" s="198"/>
      <c r="D142" s="252">
        <f>D113</f>
        <v>63.332457940000005</v>
      </c>
      <c r="E142" s="253"/>
      <c r="F142" s="148"/>
      <c r="G142" s="148"/>
      <c r="H142" s="216"/>
      <c r="I142" s="148"/>
      <c r="J142" s="216"/>
    </row>
    <row r="143" spans="1:10" s="149" customFormat="1" ht="18" customHeight="1">
      <c r="A143" s="212" t="s">
        <v>14</v>
      </c>
      <c r="B143" s="198" t="s">
        <v>298</v>
      </c>
      <c r="C143" s="198"/>
      <c r="D143" s="252">
        <f>D121</f>
        <v>0</v>
      </c>
      <c r="E143" s="253"/>
      <c r="F143" s="148"/>
      <c r="G143" s="148"/>
      <c r="H143" s="216"/>
      <c r="I143" s="148"/>
      <c r="J143" s="216"/>
    </row>
    <row r="144" spans="1:10" s="149" customFormat="1" ht="18" customHeight="1">
      <c r="A144" s="722" t="s">
        <v>320</v>
      </c>
      <c r="B144" s="723"/>
      <c r="C144" s="232"/>
      <c r="D144" s="254">
        <f>SUM(D139:D143)</f>
        <v>4566.6618886599999</v>
      </c>
      <c r="E144" s="249"/>
      <c r="F144" s="148"/>
      <c r="G144" s="148"/>
      <c r="H144" s="148"/>
      <c r="I144" s="148"/>
      <c r="J144" s="148"/>
    </row>
    <row r="145" spans="1:10" s="149" customFormat="1" ht="18" customHeight="1">
      <c r="A145" s="212" t="s">
        <v>17</v>
      </c>
      <c r="B145" s="167" t="s">
        <v>301</v>
      </c>
      <c r="C145" s="167"/>
      <c r="D145" s="252">
        <f>D133</f>
        <v>432.42063860874663</v>
      </c>
      <c r="E145" s="253"/>
      <c r="F145" s="148"/>
      <c r="G145" s="148"/>
      <c r="H145" s="148"/>
      <c r="I145" s="148"/>
      <c r="J145" s="148"/>
    </row>
    <row r="146" spans="1:10" s="149" customFormat="1" ht="18" customHeight="1" thickBot="1">
      <c r="A146" s="724" t="s">
        <v>321</v>
      </c>
      <c r="B146" s="725"/>
      <c r="C146" s="255"/>
      <c r="D146" s="256">
        <f>ROUND(SUM(D144:D145),2)</f>
        <v>4999.08</v>
      </c>
      <c r="E146" s="257"/>
      <c r="F146" s="148"/>
      <c r="G146" s="148"/>
      <c r="H146" s="148"/>
      <c r="I146" s="148"/>
      <c r="J146" s="148"/>
    </row>
    <row r="147" spans="1:10" s="149" customFormat="1" ht="18" customHeight="1">
      <c r="A147" s="148"/>
      <c r="B147" s="148"/>
      <c r="C147" s="148"/>
      <c r="D147" s="148"/>
      <c r="E147" s="148"/>
      <c r="F147" s="148"/>
      <c r="G147" s="148"/>
      <c r="H147" s="148"/>
      <c r="I147" s="148"/>
      <c r="J147" s="148"/>
    </row>
    <row r="148" spans="1:10">
      <c r="C148" s="692"/>
      <c r="D148" s="692"/>
      <c r="E148" s="692"/>
      <c r="F148" s="692"/>
      <c r="G148" s="692"/>
    </row>
    <row r="151" spans="1:10">
      <c r="G151" s="216"/>
    </row>
    <row r="152" spans="1:10">
      <c r="G152" s="216"/>
    </row>
    <row r="153" spans="1:10">
      <c r="G153" s="216"/>
    </row>
    <row r="154" spans="1:10">
      <c r="G154" s="216"/>
    </row>
    <row r="155" spans="1:10">
      <c r="G155" s="216"/>
    </row>
  </sheetData>
  <mergeCells count="65">
    <mergeCell ref="A137:D137"/>
    <mergeCell ref="A138:B138"/>
    <mergeCell ref="A144:B144"/>
    <mergeCell ref="A146:B146"/>
    <mergeCell ref="C148:G148"/>
    <mergeCell ref="A136:D136"/>
    <mergeCell ref="A104:D104"/>
    <mergeCell ref="A107:B107"/>
    <mergeCell ref="A108:D108"/>
    <mergeCell ref="A109:D109"/>
    <mergeCell ref="A114:D114"/>
    <mergeCell ref="A115:D115"/>
    <mergeCell ref="A122:D122"/>
    <mergeCell ref="A123:D123"/>
    <mergeCell ref="A124:B124"/>
    <mergeCell ref="A134:D134"/>
    <mergeCell ref="A135:D135"/>
    <mergeCell ref="A103:D103"/>
    <mergeCell ref="A71:D71"/>
    <mergeCell ref="A72:D72"/>
    <mergeCell ref="A78:D78"/>
    <mergeCell ref="A79:D79"/>
    <mergeCell ref="A88:D88"/>
    <mergeCell ref="A89:D89"/>
    <mergeCell ref="A90:D90"/>
    <mergeCell ref="A91:D91"/>
    <mergeCell ref="A92:D92"/>
    <mergeCell ref="A100:B100"/>
    <mergeCell ref="A102:B102"/>
    <mergeCell ref="A58:D58"/>
    <mergeCell ref="A33:D33"/>
    <mergeCell ref="A35:D35"/>
    <mergeCell ref="A36:D36"/>
    <mergeCell ref="A40:B40"/>
    <mergeCell ref="A41:D41"/>
    <mergeCell ref="A42:D42"/>
    <mergeCell ref="A53:D53"/>
    <mergeCell ref="A54:D54"/>
    <mergeCell ref="A55:D55"/>
    <mergeCell ref="A56:D56"/>
    <mergeCell ref="A57:D57"/>
    <mergeCell ref="A32:B32"/>
    <mergeCell ref="B15:C15"/>
    <mergeCell ref="B16:C16"/>
    <mergeCell ref="B17:C17"/>
    <mergeCell ref="B18:C18"/>
    <mergeCell ref="B19:C19"/>
    <mergeCell ref="B20:C20"/>
    <mergeCell ref="A21:D21"/>
    <mergeCell ref="A22:D22"/>
    <mergeCell ref="A23:D23"/>
    <mergeCell ref="A24:D24"/>
    <mergeCell ref="A26:D26"/>
    <mergeCell ref="B14:C14"/>
    <mergeCell ref="A1:D1"/>
    <mergeCell ref="A2:D2"/>
    <mergeCell ref="F2:K2"/>
    <mergeCell ref="A3:D3"/>
    <mergeCell ref="F3:K8"/>
    <mergeCell ref="A8:D8"/>
    <mergeCell ref="B9:C9"/>
    <mergeCell ref="B10:C10"/>
    <mergeCell ref="B11:C11"/>
    <mergeCell ref="B12:C12"/>
    <mergeCell ref="B13:C13"/>
  </mergeCells>
  <dataValidations count="2">
    <dataValidation type="list" allowBlank="1" showInputMessage="1" showErrorMessage="1" sqref="D124:E124" xr:uid="{4D0BA765-F9FB-4F48-9D41-CF3C46B989CD}">
      <formula1>"Lucro presumido,Lucro real"</formula1>
    </dataValidation>
    <dataValidation type="list" allowBlank="1" showInputMessage="1" showErrorMessage="1" sqref="C124" xr:uid="{80FF5CF5-3A74-43FB-AF31-D2D489A2C4E9}">
      <formula1>"Lucro presumido,Lucro real, Outros"</formula1>
    </dataValidation>
  </dataValidations>
  <printOptions horizontalCentered="1"/>
  <pageMargins left="0.25" right="0.25" top="0.75" bottom="0.75" header="0.3" footer="0.3"/>
  <pageSetup paperSize="9" scale="76" fitToHeight="0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4A0A1-CA8A-4072-9819-0277CBAC47D6}">
  <sheetPr>
    <tabColor theme="4" tint="-0.249977111117893"/>
    <pageSetUpPr fitToPage="1"/>
  </sheetPr>
  <dimension ref="A1:M155"/>
  <sheetViews>
    <sheetView showGridLines="0" view="pageBreakPreview" zoomScale="90" zoomScaleNormal="115" zoomScaleSheetLayoutView="90" workbookViewId="0">
      <selection sqref="A1:D1"/>
    </sheetView>
  </sheetViews>
  <sheetFormatPr defaultColWidth="8.77734375" defaultRowHeight="13.8"/>
  <cols>
    <col min="1" max="1" width="5.21875" style="148" bestFit="1" customWidth="1"/>
    <col min="2" max="2" width="85.21875" style="148" customWidth="1"/>
    <col min="3" max="3" width="13.77734375" style="148" bestFit="1" customWidth="1"/>
    <col min="4" max="4" width="25.77734375" style="148" customWidth="1"/>
    <col min="5" max="5" width="3.44140625" style="148" customWidth="1"/>
    <col min="6" max="6" width="10.5546875" style="148" customWidth="1"/>
    <col min="7" max="7" width="13.77734375" style="148" customWidth="1"/>
    <col min="8" max="8" width="7.5546875" style="148" customWidth="1"/>
    <col min="9" max="9" width="9.21875" style="148" bestFit="1" customWidth="1"/>
    <col min="10" max="10" width="11" style="148" customWidth="1"/>
    <col min="11" max="11" width="17.77734375" style="149" customWidth="1"/>
    <col min="12" max="13" width="13.77734375" style="149" bestFit="1" customWidth="1"/>
    <col min="14" max="16384" width="8.77734375" style="148"/>
  </cols>
  <sheetData>
    <row r="1" spans="1:13" ht="90" customHeight="1" thickBot="1">
      <c r="A1" s="603" t="s">
        <v>206</v>
      </c>
      <c r="B1" s="603"/>
      <c r="C1" s="603"/>
      <c r="D1" s="603"/>
      <c r="E1" s="124"/>
    </row>
    <row r="2" spans="1:13" ht="23.25" customHeight="1">
      <c r="A2" s="637" t="s">
        <v>434</v>
      </c>
      <c r="B2" s="638"/>
      <c r="C2" s="638"/>
      <c r="D2" s="639"/>
      <c r="E2" s="127"/>
      <c r="F2" s="640" t="s">
        <v>223</v>
      </c>
      <c r="G2" s="641"/>
      <c r="H2" s="641"/>
      <c r="I2" s="641"/>
      <c r="J2" s="641"/>
      <c r="K2" s="642"/>
      <c r="L2" s="148"/>
      <c r="M2" s="148"/>
    </row>
    <row r="3" spans="1:13" ht="34.5" customHeight="1">
      <c r="A3" s="643" t="s">
        <v>322</v>
      </c>
      <c r="B3" s="644"/>
      <c r="C3" s="644"/>
      <c r="D3" s="645"/>
      <c r="E3" s="150"/>
      <c r="F3" s="646" t="s">
        <v>224</v>
      </c>
      <c r="G3" s="647"/>
      <c r="H3" s="647"/>
      <c r="I3" s="647"/>
      <c r="J3" s="647"/>
      <c r="K3" s="648"/>
      <c r="L3" s="148"/>
      <c r="M3" s="148"/>
    </row>
    <row r="4" spans="1:13" ht="15" customHeight="1">
      <c r="A4" s="316" t="str">
        <f>'1-RESUMO PROPOSTA'!$B$4</f>
        <v xml:space="preserve">Número do  Processo: CRQ-IV 18/26     </v>
      </c>
      <c r="B4" s="128"/>
      <c r="C4" s="128"/>
      <c r="D4" s="317"/>
      <c r="E4" s="151"/>
      <c r="F4" s="646"/>
      <c r="G4" s="647"/>
      <c r="H4" s="647"/>
      <c r="I4" s="647"/>
      <c r="J4" s="647"/>
      <c r="K4" s="648"/>
      <c r="L4" s="148"/>
      <c r="M4" s="148"/>
    </row>
    <row r="5" spans="1:13" ht="15" customHeight="1">
      <c r="A5" s="398" t="str">
        <f>'1-RESUMO PROPOSTA'!$B$5</f>
        <v xml:space="preserve">Número da Licitação: Pregão Eletrônico nº 90006/2026      </v>
      </c>
      <c r="B5" s="129"/>
      <c r="C5" s="129"/>
      <c r="D5" s="399"/>
      <c r="E5" s="151"/>
      <c r="F5" s="646"/>
      <c r="G5" s="647"/>
      <c r="H5" s="647"/>
      <c r="I5" s="647"/>
      <c r="J5" s="647"/>
      <c r="K5" s="648"/>
      <c r="L5" s="148"/>
      <c r="M5" s="148"/>
    </row>
    <row r="6" spans="1:13" ht="15" customHeight="1">
      <c r="A6" s="316" t="str">
        <f>CONCATENATE("Razão Social:  ",'1-RESUMO PROPOSTA'!C$8)</f>
        <v xml:space="preserve">Razão Social:  </v>
      </c>
      <c r="B6" s="128"/>
      <c r="C6" s="128"/>
      <c r="D6" s="317"/>
      <c r="E6" s="151"/>
      <c r="F6" s="646"/>
      <c r="G6" s="647"/>
      <c r="H6" s="647"/>
      <c r="I6" s="647"/>
      <c r="J6" s="647"/>
      <c r="K6" s="648"/>
      <c r="L6" s="148"/>
      <c r="M6" s="148"/>
    </row>
    <row r="7" spans="1:13" ht="21.75" customHeight="1">
      <c r="A7" s="398" t="str">
        <f>CONCATENATE("CNPJ:  ",'1-RESUMO PROPOSTA'!C9)</f>
        <v xml:space="preserve">CNPJ:  </v>
      </c>
      <c r="B7" s="129"/>
      <c r="C7" s="129"/>
      <c r="D7" s="399"/>
      <c r="E7" s="152"/>
      <c r="F7" s="646"/>
      <c r="G7" s="647"/>
      <c r="H7" s="647"/>
      <c r="I7" s="647"/>
      <c r="J7" s="647"/>
      <c r="K7" s="648"/>
      <c r="L7" s="148"/>
      <c r="M7" s="148"/>
    </row>
    <row r="8" spans="1:13" ht="41.25" customHeight="1" thickBot="1">
      <c r="A8" s="726" t="s">
        <v>329</v>
      </c>
      <c r="B8" s="727"/>
      <c r="C8" s="727"/>
      <c r="D8" s="728"/>
      <c r="E8" s="153"/>
      <c r="F8" s="649"/>
      <c r="G8" s="650"/>
      <c r="H8" s="650"/>
      <c r="I8" s="650"/>
      <c r="J8" s="650"/>
      <c r="K8" s="651"/>
      <c r="L8" s="148"/>
      <c r="M8" s="148"/>
    </row>
    <row r="9" spans="1:13" ht="19.5" customHeight="1">
      <c r="A9" s="212" t="s">
        <v>6</v>
      </c>
      <c r="B9" s="636" t="s">
        <v>225</v>
      </c>
      <c r="C9" s="636"/>
      <c r="D9" s="402" t="s">
        <v>26</v>
      </c>
      <c r="F9" s="149"/>
      <c r="G9" s="149"/>
      <c r="H9" s="149"/>
      <c r="K9" s="148"/>
      <c r="L9" s="148"/>
      <c r="M9" s="148"/>
    </row>
    <row r="10" spans="1:13" ht="19.5" customHeight="1">
      <c r="A10" s="212" t="s">
        <v>8</v>
      </c>
      <c r="B10" s="636" t="s">
        <v>226</v>
      </c>
      <c r="C10" s="636"/>
      <c r="D10" s="403" t="s">
        <v>227</v>
      </c>
      <c r="E10" s="155"/>
      <c r="F10" s="149"/>
      <c r="G10" s="149"/>
      <c r="H10" s="149"/>
      <c r="K10" s="148"/>
      <c r="L10" s="148"/>
      <c r="M10" s="148"/>
    </row>
    <row r="11" spans="1:13" ht="19.5" customHeight="1">
      <c r="A11" s="212" t="s">
        <v>10</v>
      </c>
      <c r="B11" s="636" t="s">
        <v>228</v>
      </c>
      <c r="C11" s="636"/>
      <c r="D11" s="403">
        <v>25194</v>
      </c>
      <c r="E11" s="155"/>
      <c r="F11" s="149"/>
      <c r="G11" s="149"/>
      <c r="H11" s="149"/>
      <c r="K11" s="148"/>
      <c r="L11" s="148"/>
      <c r="M11" s="148"/>
    </row>
    <row r="12" spans="1:13" ht="19.5" customHeight="1">
      <c r="A12" s="212" t="s">
        <v>12</v>
      </c>
      <c r="B12" s="636" t="s">
        <v>171</v>
      </c>
      <c r="C12" s="636"/>
      <c r="D12" s="403" t="s">
        <v>407</v>
      </c>
      <c r="E12" s="155"/>
      <c r="F12" s="149"/>
      <c r="H12" s="149"/>
      <c r="K12" s="148"/>
      <c r="L12" s="148"/>
      <c r="M12" s="148"/>
    </row>
    <row r="13" spans="1:13" ht="19.5" customHeight="1">
      <c r="A13" s="212" t="s">
        <v>14</v>
      </c>
      <c r="B13" s="655" t="s">
        <v>379</v>
      </c>
      <c r="C13" s="656"/>
      <c r="D13" s="403" t="s">
        <v>378</v>
      </c>
      <c r="E13" s="155"/>
      <c r="F13" s="149"/>
      <c r="H13" s="149"/>
      <c r="K13" s="148"/>
      <c r="L13" s="148"/>
      <c r="M13" s="148"/>
    </row>
    <row r="14" spans="1:13" ht="19.5" customHeight="1">
      <c r="A14" s="212" t="s">
        <v>17</v>
      </c>
      <c r="B14" s="636" t="s">
        <v>229</v>
      </c>
      <c r="C14" s="636"/>
      <c r="D14" s="403" t="s">
        <v>382</v>
      </c>
      <c r="E14" s="155"/>
      <c r="F14" s="149"/>
      <c r="G14" s="149"/>
      <c r="H14" s="149"/>
      <c r="K14" s="148"/>
      <c r="L14" s="148"/>
      <c r="M14" s="148"/>
    </row>
    <row r="15" spans="1:13" ht="27" customHeight="1">
      <c r="A15" s="212" t="s">
        <v>19</v>
      </c>
      <c r="B15" s="636" t="s">
        <v>230</v>
      </c>
      <c r="C15" s="636"/>
      <c r="D15" s="413" t="s">
        <v>204</v>
      </c>
      <c r="E15" s="156"/>
      <c r="F15" s="149"/>
      <c r="G15" s="149"/>
      <c r="H15" s="149"/>
      <c r="K15" s="148"/>
      <c r="L15" s="148"/>
      <c r="M15" s="148"/>
    </row>
    <row r="16" spans="1:13" ht="19.5" customHeight="1">
      <c r="A16" s="406" t="s">
        <v>135</v>
      </c>
      <c r="B16" s="659" t="s">
        <v>231</v>
      </c>
      <c r="C16" s="660"/>
      <c r="D16" s="407">
        <v>1850.07</v>
      </c>
      <c r="E16" s="157"/>
      <c r="F16" s="149"/>
      <c r="G16" s="149"/>
      <c r="H16" s="149"/>
      <c r="K16" s="148"/>
      <c r="L16" s="148"/>
      <c r="M16" s="148"/>
    </row>
    <row r="17" spans="1:13" ht="25.5" customHeight="1">
      <c r="A17" s="212" t="s">
        <v>32</v>
      </c>
      <c r="B17" s="636" t="s">
        <v>331</v>
      </c>
      <c r="C17" s="655"/>
      <c r="D17" s="408" t="s">
        <v>332</v>
      </c>
      <c r="E17" s="156"/>
      <c r="F17" s="149"/>
      <c r="G17" s="149"/>
      <c r="H17" s="149"/>
      <c r="K17" s="148"/>
      <c r="L17" s="148"/>
      <c r="M17" s="148"/>
    </row>
    <row r="18" spans="1:13" ht="19.5" customHeight="1">
      <c r="A18" s="212" t="s">
        <v>232</v>
      </c>
      <c r="B18" s="636" t="s">
        <v>233</v>
      </c>
      <c r="C18" s="655"/>
      <c r="D18" s="409">
        <v>46023</v>
      </c>
      <c r="E18" s="155"/>
      <c r="F18" s="149"/>
      <c r="G18" s="149"/>
      <c r="H18" s="149"/>
      <c r="K18" s="148"/>
      <c r="L18" s="148"/>
      <c r="M18" s="148"/>
    </row>
    <row r="19" spans="1:13" ht="19.5" customHeight="1">
      <c r="A19" s="212" t="s">
        <v>328</v>
      </c>
      <c r="B19" s="636" t="s">
        <v>235</v>
      </c>
      <c r="C19" s="655"/>
      <c r="D19" s="402" t="s">
        <v>236</v>
      </c>
      <c r="E19" s="155"/>
      <c r="F19" s="149"/>
      <c r="G19" s="149"/>
      <c r="H19" s="149"/>
      <c r="K19" s="148"/>
      <c r="L19" s="148"/>
      <c r="M19" s="148"/>
    </row>
    <row r="20" spans="1:13" ht="19.5" customHeight="1" thickBot="1">
      <c r="A20" s="410" t="s">
        <v>234</v>
      </c>
      <c r="B20" s="661" t="s">
        <v>237</v>
      </c>
      <c r="C20" s="661"/>
      <c r="D20" s="411" t="s">
        <v>238</v>
      </c>
      <c r="E20" s="155"/>
      <c r="F20" s="149"/>
      <c r="G20" s="149"/>
      <c r="H20" s="149"/>
      <c r="K20" s="148"/>
      <c r="L20" s="148"/>
      <c r="M20" s="148"/>
    </row>
    <row r="21" spans="1:13" ht="3" customHeight="1">
      <c r="A21" s="662"/>
      <c r="B21" s="662"/>
      <c r="C21" s="662"/>
      <c r="D21" s="662"/>
      <c r="E21" s="158"/>
      <c r="I21" s="149"/>
      <c r="J21" s="149"/>
      <c r="L21" s="148"/>
      <c r="M21" s="148"/>
    </row>
    <row r="22" spans="1:13" ht="11.25" customHeight="1" thickBot="1">
      <c r="A22" s="663"/>
      <c r="B22" s="663"/>
      <c r="C22" s="663"/>
      <c r="D22" s="663"/>
      <c r="E22" s="159"/>
      <c r="I22" s="149"/>
      <c r="J22" s="149"/>
      <c r="L22" s="148"/>
      <c r="M22" s="148"/>
    </row>
    <row r="23" spans="1:13" ht="14.4">
      <c r="A23" s="664" t="s">
        <v>239</v>
      </c>
      <c r="B23" s="665"/>
      <c r="C23" s="665"/>
      <c r="D23" s="666"/>
      <c r="E23" s="160"/>
      <c r="I23" s="149"/>
      <c r="J23" s="149"/>
      <c r="L23" s="148"/>
      <c r="M23" s="148"/>
    </row>
    <row r="24" spans="1:13" ht="18" customHeight="1" thickBot="1">
      <c r="A24" s="667" t="s">
        <v>240</v>
      </c>
      <c r="B24" s="668"/>
      <c r="C24" s="668"/>
      <c r="D24" s="669"/>
      <c r="E24" s="161"/>
      <c r="I24" s="149"/>
      <c r="J24" s="149"/>
      <c r="L24" s="148"/>
      <c r="M24" s="148"/>
    </row>
    <row r="25" spans="1:13" ht="13.5" customHeight="1" thickBot="1">
      <c r="A25" s="149"/>
      <c r="B25" s="149"/>
      <c r="C25" s="149"/>
      <c r="D25" s="149"/>
      <c r="E25" s="149"/>
      <c r="F25" s="149"/>
      <c r="G25" s="149"/>
      <c r="H25" s="149"/>
      <c r="I25" s="149"/>
      <c r="J25" s="149"/>
      <c r="L25" s="148"/>
      <c r="M25" s="148"/>
    </row>
    <row r="26" spans="1:13" ht="18" customHeight="1">
      <c r="A26" s="670" t="s">
        <v>241</v>
      </c>
      <c r="B26" s="671"/>
      <c r="C26" s="671"/>
      <c r="D26" s="672"/>
      <c r="E26" s="162"/>
    </row>
    <row r="27" spans="1:13" ht="18" customHeight="1">
      <c r="A27" s="163">
        <v>1</v>
      </c>
      <c r="B27" s="164" t="s">
        <v>242</v>
      </c>
      <c r="C27" s="164"/>
      <c r="D27" s="165" t="s">
        <v>35</v>
      </c>
      <c r="E27" s="166"/>
    </row>
    <row r="28" spans="1:13" ht="18" customHeight="1">
      <c r="A28" s="163" t="s">
        <v>6</v>
      </c>
      <c r="B28" s="167" t="s">
        <v>243</v>
      </c>
      <c r="C28" s="167"/>
      <c r="D28" s="168">
        <f>D16</f>
        <v>1850.07</v>
      </c>
      <c r="E28" s="169"/>
    </row>
    <row r="29" spans="1:13" ht="18" customHeight="1">
      <c r="A29" s="163" t="s">
        <v>8</v>
      </c>
      <c r="B29" s="167" t="s">
        <v>169</v>
      </c>
      <c r="C29" s="167"/>
      <c r="D29" s="366">
        <v>0</v>
      </c>
      <c r="E29" s="169"/>
    </row>
    <row r="30" spans="1:13" ht="18" customHeight="1">
      <c r="A30" s="163" t="s">
        <v>10</v>
      </c>
      <c r="B30" s="167" t="s">
        <v>170</v>
      </c>
      <c r="C30" s="167"/>
      <c r="D30" s="366">
        <v>0</v>
      </c>
      <c r="E30" s="169"/>
    </row>
    <row r="31" spans="1:13" ht="18" customHeight="1">
      <c r="A31" s="163" t="s">
        <v>12</v>
      </c>
      <c r="B31" s="365" t="s">
        <v>333</v>
      </c>
      <c r="C31" s="167"/>
      <c r="D31" s="366">
        <v>0</v>
      </c>
      <c r="E31" s="169"/>
    </row>
    <row r="32" spans="1:13" ht="18" customHeight="1" thickBot="1">
      <c r="A32" s="657" t="s">
        <v>244</v>
      </c>
      <c r="B32" s="658"/>
      <c r="C32" s="171"/>
      <c r="D32" s="172">
        <f>SUM(D28:D31)</f>
        <v>1850.07</v>
      </c>
      <c r="E32" s="173"/>
    </row>
    <row r="33" spans="1:5" ht="13.5" customHeight="1">
      <c r="A33" s="676"/>
      <c r="B33" s="677"/>
      <c r="C33" s="677"/>
      <c r="D33" s="677"/>
      <c r="E33" s="174"/>
    </row>
    <row r="34" spans="1:5" ht="11.25" customHeight="1" thickBot="1">
      <c r="A34" s="175"/>
      <c r="B34" s="175"/>
      <c r="C34" s="175"/>
      <c r="D34" s="175"/>
      <c r="E34" s="175"/>
    </row>
    <row r="35" spans="1:5" ht="18" customHeight="1" thickBot="1">
      <c r="A35" s="678" t="s">
        <v>245</v>
      </c>
      <c r="B35" s="679"/>
      <c r="C35" s="679"/>
      <c r="D35" s="680"/>
      <c r="E35" s="162"/>
    </row>
    <row r="36" spans="1:5" ht="18" customHeight="1">
      <c r="A36" s="681" t="s">
        <v>246</v>
      </c>
      <c r="B36" s="682"/>
      <c r="C36" s="682"/>
      <c r="D36" s="683"/>
      <c r="E36" s="176"/>
    </row>
    <row r="37" spans="1:5" ht="18" customHeight="1">
      <c r="A37" s="177" t="s">
        <v>161</v>
      </c>
      <c r="B37" s="178" t="s">
        <v>247</v>
      </c>
      <c r="C37" s="179" t="s">
        <v>248</v>
      </c>
      <c r="D37" s="180" t="s">
        <v>35</v>
      </c>
      <c r="E37" s="181"/>
    </row>
    <row r="38" spans="1:5" ht="18" customHeight="1">
      <c r="A38" s="163" t="s">
        <v>6</v>
      </c>
      <c r="B38" s="167" t="s">
        <v>249</v>
      </c>
      <c r="C38" s="182">
        <f>(1/12)</f>
        <v>8.3333333333333329E-2</v>
      </c>
      <c r="D38" s="170">
        <f>C38*$D$32</f>
        <v>154.17249999999999</v>
      </c>
      <c r="E38" s="169"/>
    </row>
    <row r="39" spans="1:5" ht="18" customHeight="1">
      <c r="A39" s="163" t="s">
        <v>8</v>
      </c>
      <c r="B39" s="167" t="s">
        <v>250</v>
      </c>
      <c r="C39" s="183">
        <v>0.1111</v>
      </c>
      <c r="D39" s="170">
        <f>C39*$D$32</f>
        <v>205.542777</v>
      </c>
      <c r="E39" s="169"/>
    </row>
    <row r="40" spans="1:5" ht="18" customHeight="1" thickBot="1">
      <c r="A40" s="657" t="s">
        <v>251</v>
      </c>
      <c r="B40" s="658"/>
      <c r="C40" s="184">
        <f>SUM(C38:C39)</f>
        <v>0.19443333333333335</v>
      </c>
      <c r="D40" s="172">
        <f>SUM(D38:D39)</f>
        <v>359.71527700000001</v>
      </c>
      <c r="E40" s="173"/>
    </row>
    <row r="41" spans="1:5" ht="15" customHeight="1" thickBot="1">
      <c r="A41" s="684"/>
      <c r="B41" s="685"/>
      <c r="C41" s="685"/>
      <c r="D41" s="685"/>
      <c r="E41" s="185"/>
    </row>
    <row r="42" spans="1:5" ht="18.75" customHeight="1">
      <c r="A42" s="686" t="s">
        <v>252</v>
      </c>
      <c r="B42" s="687"/>
      <c r="C42" s="687"/>
      <c r="D42" s="688"/>
      <c r="E42" s="186"/>
    </row>
    <row r="43" spans="1:5" ht="18" customHeight="1">
      <c r="A43" s="163" t="s">
        <v>162</v>
      </c>
      <c r="B43" s="179" t="s">
        <v>167</v>
      </c>
      <c r="C43" s="179" t="s">
        <v>248</v>
      </c>
      <c r="D43" s="187" t="s">
        <v>35</v>
      </c>
      <c r="E43" s="176"/>
    </row>
    <row r="44" spans="1:5" ht="18" customHeight="1">
      <c r="A44" s="163" t="s">
        <v>6</v>
      </c>
      <c r="B44" s="167" t="s">
        <v>45</v>
      </c>
      <c r="C44" s="367">
        <v>0.2</v>
      </c>
      <c r="D44" s="170">
        <f t="shared" ref="D44:D51" si="0">C44*($D$32+$D$40)</f>
        <v>441.9570554</v>
      </c>
      <c r="E44" s="169"/>
    </row>
    <row r="45" spans="1:5" ht="18" customHeight="1">
      <c r="A45" s="163" t="s">
        <v>8</v>
      </c>
      <c r="B45" s="167" t="s">
        <v>253</v>
      </c>
      <c r="C45" s="367">
        <v>2.5000000000000001E-2</v>
      </c>
      <c r="D45" s="170">
        <f t="shared" si="0"/>
        <v>55.244631925</v>
      </c>
      <c r="E45" s="169"/>
    </row>
    <row r="46" spans="1:5" ht="18" customHeight="1">
      <c r="A46" s="163" t="s">
        <v>10</v>
      </c>
      <c r="B46" s="167" t="s">
        <v>254</v>
      </c>
      <c r="C46" s="368">
        <v>0.03</v>
      </c>
      <c r="D46" s="170">
        <f t="shared" si="0"/>
        <v>66.293558309999995</v>
      </c>
      <c r="E46" s="169"/>
    </row>
    <row r="47" spans="1:5" ht="18" customHeight="1">
      <c r="A47" s="163" t="s">
        <v>12</v>
      </c>
      <c r="B47" s="167" t="s">
        <v>255</v>
      </c>
      <c r="C47" s="367">
        <v>1.4999999999999999E-2</v>
      </c>
      <c r="D47" s="170">
        <f t="shared" si="0"/>
        <v>33.146779154999997</v>
      </c>
      <c r="E47" s="169"/>
    </row>
    <row r="48" spans="1:5" ht="18" customHeight="1">
      <c r="A48" s="163" t="s">
        <v>14</v>
      </c>
      <c r="B48" s="167" t="s">
        <v>256</v>
      </c>
      <c r="C48" s="367">
        <v>0.01</v>
      </c>
      <c r="D48" s="170">
        <f t="shared" si="0"/>
        <v>22.097852769999999</v>
      </c>
      <c r="E48" s="169"/>
    </row>
    <row r="49" spans="1:13" ht="18" customHeight="1">
      <c r="A49" s="163" t="s">
        <v>17</v>
      </c>
      <c r="B49" s="167" t="s">
        <v>52</v>
      </c>
      <c r="C49" s="367">
        <v>6.0000000000000001E-3</v>
      </c>
      <c r="D49" s="170">
        <f t="shared" si="0"/>
        <v>13.258711662</v>
      </c>
      <c r="E49" s="169"/>
    </row>
    <row r="50" spans="1:13" ht="18" customHeight="1">
      <c r="A50" s="163" t="s">
        <v>19</v>
      </c>
      <c r="B50" s="167" t="s">
        <v>48</v>
      </c>
      <c r="C50" s="367">
        <v>2E-3</v>
      </c>
      <c r="D50" s="170">
        <f t="shared" si="0"/>
        <v>4.4195705539999999</v>
      </c>
      <c r="E50" s="169"/>
    </row>
    <row r="51" spans="1:13" ht="18" customHeight="1">
      <c r="A51" s="163" t="s">
        <v>135</v>
      </c>
      <c r="B51" s="167" t="s">
        <v>50</v>
      </c>
      <c r="C51" s="367">
        <v>0.08</v>
      </c>
      <c r="D51" s="170">
        <f t="shared" si="0"/>
        <v>176.78282215999999</v>
      </c>
      <c r="E51" s="169"/>
    </row>
    <row r="52" spans="1:13" ht="18" customHeight="1" thickBot="1">
      <c r="A52" s="188" t="s">
        <v>152</v>
      </c>
      <c r="B52" s="171"/>
      <c r="C52" s="189">
        <f>SUM(C44:C51)</f>
        <v>0.36800000000000005</v>
      </c>
      <c r="D52" s="172">
        <f>SUM(D44:D51)</f>
        <v>813.20098193600006</v>
      </c>
      <c r="E52" s="173"/>
    </row>
    <row r="53" spans="1:13" ht="33" customHeight="1">
      <c r="A53" s="689" t="s">
        <v>257</v>
      </c>
      <c r="B53" s="690"/>
      <c r="C53" s="690"/>
      <c r="D53" s="690"/>
      <c r="E53" s="190"/>
    </row>
    <row r="54" spans="1:13" ht="24.75" customHeight="1">
      <c r="A54" s="691" t="s">
        <v>258</v>
      </c>
      <c r="B54" s="692"/>
      <c r="C54" s="692"/>
      <c r="D54" s="692"/>
      <c r="E54" s="191"/>
    </row>
    <row r="55" spans="1:13" ht="36" customHeight="1">
      <c r="A55" s="693" t="s">
        <v>259</v>
      </c>
      <c r="B55" s="694"/>
      <c r="C55" s="694"/>
      <c r="D55" s="694"/>
      <c r="E55" s="192"/>
    </row>
    <row r="56" spans="1:13" ht="25.5" customHeight="1">
      <c r="A56" s="691" t="s">
        <v>260</v>
      </c>
      <c r="B56" s="692"/>
      <c r="C56" s="692"/>
      <c r="D56" s="692"/>
      <c r="E56" s="191"/>
    </row>
    <row r="57" spans="1:13" ht="12.75" customHeight="1" thickBot="1">
      <c r="A57" s="695"/>
      <c r="B57" s="696"/>
      <c r="C57" s="696"/>
      <c r="D57" s="696"/>
      <c r="E57" s="155"/>
    </row>
    <row r="58" spans="1:13" ht="18" customHeight="1" thickBot="1">
      <c r="A58" s="673" t="s">
        <v>261</v>
      </c>
      <c r="B58" s="674"/>
      <c r="C58" s="674"/>
      <c r="D58" s="675"/>
      <c r="E58" s="193"/>
    </row>
    <row r="59" spans="1:13" ht="18" customHeight="1">
      <c r="A59" s="194" t="s">
        <v>163</v>
      </c>
      <c r="B59" s="195" t="s">
        <v>262</v>
      </c>
      <c r="C59" s="196" t="s">
        <v>263</v>
      </c>
      <c r="D59" s="197" t="s">
        <v>35</v>
      </c>
      <c r="E59" s="176"/>
    </row>
    <row r="60" spans="1:13" ht="18" customHeight="1">
      <c r="A60" s="163" t="s">
        <v>6</v>
      </c>
      <c r="B60" s="198" t="s">
        <v>264</v>
      </c>
      <c r="C60" s="154">
        <f>'5-BENEFICIOS'!$C$14</f>
        <v>22</v>
      </c>
      <c r="D60" s="199">
        <f>'5-BENEFICIOS'!C23</f>
        <v>0</v>
      </c>
      <c r="E60" s="200"/>
      <c r="F60" s="155"/>
      <c r="J60" s="149"/>
      <c r="M60" s="148"/>
    </row>
    <row r="61" spans="1:13" ht="18" customHeight="1">
      <c r="A61" s="163" t="s">
        <v>8</v>
      </c>
      <c r="B61" s="167" t="s">
        <v>265</v>
      </c>
      <c r="C61" s="154">
        <f>'5-BENEFICIOS'!$C$35</f>
        <v>22</v>
      </c>
      <c r="D61" s="170">
        <f>'5-BENEFICIOS'!C39</f>
        <v>447.48</v>
      </c>
      <c r="E61" s="169"/>
    </row>
    <row r="62" spans="1:13" ht="18" customHeight="1">
      <c r="A62" s="163" t="s">
        <v>10</v>
      </c>
      <c r="B62" s="167" t="s">
        <v>266</v>
      </c>
      <c r="C62" s="154" t="s">
        <v>26</v>
      </c>
      <c r="D62" s="170" cm="1">
        <f t="array" ref="D62:E62">'5-BENEFICIOS'!C30:D30</f>
        <v>151.91</v>
      </c>
      <c r="E62" s="169">
        <v>0</v>
      </c>
      <c r="F62" s="155"/>
      <c r="L62" s="325" t="s">
        <v>134</v>
      </c>
    </row>
    <row r="63" spans="1:13" ht="18" customHeight="1">
      <c r="A63" s="163" t="s">
        <v>12</v>
      </c>
      <c r="B63" s="167" t="s">
        <v>267</v>
      </c>
      <c r="C63" s="154" t="s">
        <v>26</v>
      </c>
      <c r="D63" s="170">
        <v>37.090000000000003</v>
      </c>
      <c r="E63" s="169"/>
    </row>
    <row r="64" spans="1:13" ht="18" customHeight="1">
      <c r="A64" s="163" t="s">
        <v>14</v>
      </c>
      <c r="B64" s="167" t="s">
        <v>268</v>
      </c>
      <c r="C64" s="154" t="s">
        <v>26</v>
      </c>
      <c r="D64" s="366">
        <v>0</v>
      </c>
      <c r="E64" s="169"/>
    </row>
    <row r="65" spans="1:13" ht="18" customHeight="1">
      <c r="A65" s="163" t="s">
        <v>17</v>
      </c>
      <c r="B65" s="167" t="s">
        <v>269</v>
      </c>
      <c r="C65" s="154" t="s">
        <v>26</v>
      </c>
      <c r="D65" s="366">
        <v>0</v>
      </c>
      <c r="E65" s="169"/>
    </row>
    <row r="66" spans="1:13" ht="18" customHeight="1">
      <c r="A66" s="201" t="s">
        <v>19</v>
      </c>
      <c r="B66" s="202" t="s">
        <v>369</v>
      </c>
      <c r="C66" s="154" t="s">
        <v>26</v>
      </c>
      <c r="D66" s="170">
        <f>'5-BENEFICIOS'!C43</f>
        <v>315</v>
      </c>
      <c r="E66" s="169"/>
    </row>
    <row r="67" spans="1:13" ht="18" customHeight="1">
      <c r="A67" s="201" t="s">
        <v>135</v>
      </c>
      <c r="B67" s="202" t="s">
        <v>370</v>
      </c>
      <c r="C67" s="203" t="s">
        <v>26</v>
      </c>
      <c r="D67" s="204">
        <f>'5-BENEFICIOS'!D42</f>
        <v>29.7</v>
      </c>
      <c r="E67" s="169"/>
    </row>
    <row r="68" spans="1:13" ht="18" customHeight="1">
      <c r="A68" s="201" t="s">
        <v>32</v>
      </c>
      <c r="B68" s="202" t="s">
        <v>371</v>
      </c>
      <c r="C68" s="203" t="s">
        <v>26</v>
      </c>
      <c r="D68" s="204">
        <f>'5-BENEFICIOS'!D45</f>
        <v>105.33</v>
      </c>
      <c r="E68" s="169"/>
    </row>
    <row r="69" spans="1:13" ht="18" customHeight="1">
      <c r="A69" s="201" t="s">
        <v>232</v>
      </c>
      <c r="B69" s="202" t="str">
        <f>CONCATENATE("Outros benefícios - ",'5-BENEFICIOS'!B46)</f>
        <v>Outros benefícios - OUTROS BENEFICIOS (ESPECIFICAR)</v>
      </c>
      <c r="C69" s="203" t="s">
        <v>26</v>
      </c>
      <c r="D69" s="204">
        <f>'5-BENEFICIOS'!C46</f>
        <v>0</v>
      </c>
      <c r="E69" s="169"/>
    </row>
    <row r="70" spans="1:13" ht="18" customHeight="1" thickBot="1">
      <c r="A70" s="188" t="s">
        <v>152</v>
      </c>
      <c r="B70" s="171"/>
      <c r="C70" s="171"/>
      <c r="D70" s="172">
        <f>SUM(D60:D68)</f>
        <v>1086.51</v>
      </c>
      <c r="E70" s="173"/>
    </row>
    <row r="71" spans="1:13" ht="15" customHeight="1" thickBot="1">
      <c r="A71" s="699"/>
      <c r="B71" s="700"/>
      <c r="C71" s="700"/>
      <c r="D71" s="700"/>
      <c r="E71" s="155"/>
    </row>
    <row r="72" spans="1:13" ht="18" customHeight="1" thickBot="1">
      <c r="A72" s="673" t="s">
        <v>270</v>
      </c>
      <c r="B72" s="674"/>
      <c r="C72" s="674"/>
      <c r="D72" s="675"/>
      <c r="E72" s="193"/>
    </row>
    <row r="73" spans="1:13" ht="18" customHeight="1">
      <c r="A73" s="194">
        <v>2</v>
      </c>
      <c r="B73" s="205" t="s">
        <v>271</v>
      </c>
      <c r="C73" s="205"/>
      <c r="D73" s="197" t="s">
        <v>35</v>
      </c>
      <c r="E73" s="176"/>
    </row>
    <row r="74" spans="1:13" ht="18" customHeight="1">
      <c r="A74" s="163" t="s">
        <v>161</v>
      </c>
      <c r="B74" s="198" t="s">
        <v>247</v>
      </c>
      <c r="C74" s="198"/>
      <c r="D74" s="170">
        <f>D40</f>
        <v>359.71527700000001</v>
      </c>
      <c r="E74" s="169"/>
    </row>
    <row r="75" spans="1:13" ht="18" customHeight="1">
      <c r="A75" s="163" t="s">
        <v>162</v>
      </c>
      <c r="B75" s="167" t="s">
        <v>167</v>
      </c>
      <c r="C75" s="167"/>
      <c r="D75" s="170">
        <f>D52</f>
        <v>813.20098193600006</v>
      </c>
      <c r="E75" s="169"/>
    </row>
    <row r="76" spans="1:13" ht="18" customHeight="1">
      <c r="A76" s="163" t="s">
        <v>163</v>
      </c>
      <c r="B76" s="167" t="s">
        <v>262</v>
      </c>
      <c r="C76" s="167"/>
      <c r="D76" s="170">
        <f>D70</f>
        <v>1086.51</v>
      </c>
      <c r="E76" s="169"/>
    </row>
    <row r="77" spans="1:13" ht="18" customHeight="1" thickBot="1">
      <c r="A77" s="188" t="s">
        <v>152</v>
      </c>
      <c r="B77" s="171"/>
      <c r="C77" s="171"/>
      <c r="D77" s="172">
        <f>SUM(D74:D76)</f>
        <v>2259.4262589360001</v>
      </c>
      <c r="E77" s="173"/>
    </row>
    <row r="78" spans="1:13" ht="15" customHeight="1" thickBot="1">
      <c r="A78" s="697"/>
      <c r="B78" s="698"/>
      <c r="C78" s="698"/>
      <c r="D78" s="698"/>
      <c r="E78" s="155"/>
      <c r="M78" s="206"/>
    </row>
    <row r="79" spans="1:13" ht="18" customHeight="1" thickBot="1">
      <c r="A79" s="701" t="s">
        <v>272</v>
      </c>
      <c r="B79" s="702"/>
      <c r="C79" s="702"/>
      <c r="D79" s="703"/>
      <c r="E79" s="207"/>
      <c r="M79" s="206"/>
    </row>
    <row r="80" spans="1:13" ht="18" customHeight="1">
      <c r="A80" s="194">
        <v>3</v>
      </c>
      <c r="B80" s="195" t="s">
        <v>273</v>
      </c>
      <c r="C80" s="195" t="s">
        <v>248</v>
      </c>
      <c r="D80" s="197" t="s">
        <v>35</v>
      </c>
      <c r="E80" s="176"/>
      <c r="M80" s="206"/>
    </row>
    <row r="81" spans="1:13" ht="18" customHeight="1">
      <c r="A81" s="163" t="s">
        <v>6</v>
      </c>
      <c r="B81" s="198" t="s">
        <v>168</v>
      </c>
      <c r="C81" s="369">
        <f>((1/12)*0.05)</f>
        <v>4.1666666666666666E-3</v>
      </c>
      <c r="D81" s="170">
        <f>C81*($D$32)</f>
        <v>7.7086249999999996</v>
      </c>
      <c r="E81" s="169"/>
    </row>
    <row r="82" spans="1:13" ht="18" customHeight="1">
      <c r="A82" s="163" t="s">
        <v>8</v>
      </c>
      <c r="B82" s="198" t="s">
        <v>274</v>
      </c>
      <c r="C82" s="369">
        <f>C51*C81</f>
        <v>3.3333333333333332E-4</v>
      </c>
      <c r="D82" s="170">
        <f t="shared" ref="D82:D86" si="1">C82*($D$32)</f>
        <v>0.61668999999999996</v>
      </c>
      <c r="E82" s="169"/>
    </row>
    <row r="83" spans="1:13" ht="18" customHeight="1">
      <c r="A83" s="163" t="s">
        <v>10</v>
      </c>
      <c r="B83" s="198" t="s">
        <v>275</v>
      </c>
      <c r="C83" s="370">
        <v>0.02</v>
      </c>
      <c r="D83" s="170">
        <f t="shared" si="1"/>
        <v>37.001399999999997</v>
      </c>
      <c r="E83" s="169"/>
      <c r="M83" s="206"/>
    </row>
    <row r="84" spans="1:13" ht="18" customHeight="1">
      <c r="A84" s="163" t="s">
        <v>12</v>
      </c>
      <c r="B84" s="198" t="s">
        <v>276</v>
      </c>
      <c r="C84" s="370">
        <f>(7/30)/12</f>
        <v>1.9444444444444445E-2</v>
      </c>
      <c r="D84" s="170">
        <f>C84*($D$32)</f>
        <v>35.97358333333333</v>
      </c>
      <c r="E84" s="169"/>
    </row>
    <row r="85" spans="1:13" ht="18" customHeight="1">
      <c r="A85" s="163" t="s">
        <v>14</v>
      </c>
      <c r="B85" s="198" t="s">
        <v>277</v>
      </c>
      <c r="C85" s="370">
        <f>C84*C52</f>
        <v>7.1555555555555565E-3</v>
      </c>
      <c r="D85" s="170">
        <f>C85*($D$32)</f>
        <v>13.238278666666668</v>
      </c>
      <c r="E85" s="169"/>
    </row>
    <row r="86" spans="1:13" ht="18" customHeight="1">
      <c r="A86" s="163" t="s">
        <v>17</v>
      </c>
      <c r="B86" s="198" t="s">
        <v>278</v>
      </c>
      <c r="C86" s="371">
        <v>0.02</v>
      </c>
      <c r="D86" s="170">
        <f t="shared" si="1"/>
        <v>37.001399999999997</v>
      </c>
      <c r="E86" s="169"/>
    </row>
    <row r="87" spans="1:13" ht="18" customHeight="1" thickBot="1">
      <c r="A87" s="188" t="s">
        <v>152</v>
      </c>
      <c r="B87" s="171"/>
      <c r="C87" s="208">
        <f>SUM(C81:C86)</f>
        <v>7.1099999999999997E-2</v>
      </c>
      <c r="D87" s="172">
        <f>SUM(D81:D86)</f>
        <v>131.53997699999999</v>
      </c>
      <c r="E87" s="173"/>
    </row>
    <row r="88" spans="1:13" ht="51" customHeight="1">
      <c r="A88" s="704" t="s">
        <v>279</v>
      </c>
      <c r="B88" s="705"/>
      <c r="C88" s="705"/>
      <c r="D88" s="705"/>
      <c r="E88" s="209"/>
    </row>
    <row r="89" spans="1:13" ht="15" customHeight="1" thickBot="1">
      <c r="A89" s="699"/>
      <c r="B89" s="700"/>
      <c r="C89" s="700"/>
      <c r="D89" s="700"/>
      <c r="E89" s="155"/>
    </row>
    <row r="90" spans="1:13" ht="18" customHeight="1" thickBot="1">
      <c r="A90" s="701" t="s">
        <v>280</v>
      </c>
      <c r="B90" s="702"/>
      <c r="C90" s="702"/>
      <c r="D90" s="703"/>
      <c r="E90" s="207"/>
    </row>
    <row r="91" spans="1:13" ht="34.5" customHeight="1" thickBot="1">
      <c r="A91" s="706" t="s">
        <v>281</v>
      </c>
      <c r="B91" s="707"/>
      <c r="C91" s="707"/>
      <c r="D91" s="707"/>
      <c r="E91" s="210"/>
    </row>
    <row r="92" spans="1:13" ht="16.5" customHeight="1">
      <c r="A92" s="708" t="s">
        <v>282</v>
      </c>
      <c r="B92" s="709"/>
      <c r="C92" s="709"/>
      <c r="D92" s="710"/>
      <c r="E92" s="211"/>
    </row>
    <row r="93" spans="1:13" ht="18" customHeight="1">
      <c r="A93" s="163" t="s">
        <v>164</v>
      </c>
      <c r="B93" s="179" t="s">
        <v>283</v>
      </c>
      <c r="C93" s="179" t="s">
        <v>248</v>
      </c>
      <c r="D93" s="187" t="s">
        <v>35</v>
      </c>
      <c r="E93" s="176"/>
    </row>
    <row r="94" spans="1:13" ht="18" customHeight="1">
      <c r="A94" s="212" t="s">
        <v>6</v>
      </c>
      <c r="B94" s="198" t="s">
        <v>284</v>
      </c>
      <c r="C94" s="372">
        <f>((1/12)+(1/12)+(1/3/12))/12</f>
        <v>1.6203703703703703E-2</v>
      </c>
      <c r="D94" s="170">
        <f t="shared" ref="D94:D99" si="2">C94*($D$32)</f>
        <v>29.977986111111107</v>
      </c>
      <c r="E94" s="169"/>
    </row>
    <row r="95" spans="1:13" ht="18" customHeight="1">
      <c r="A95" s="212" t="s">
        <v>8</v>
      </c>
      <c r="B95" s="198" t="s">
        <v>285</v>
      </c>
      <c r="C95" s="372">
        <f>(2/30)/12</f>
        <v>5.5555555555555558E-3</v>
      </c>
      <c r="D95" s="170">
        <f t="shared" si="2"/>
        <v>10.278166666666667</v>
      </c>
      <c r="E95" s="169"/>
    </row>
    <row r="96" spans="1:13" ht="18" customHeight="1">
      <c r="A96" s="212" t="s">
        <v>10</v>
      </c>
      <c r="B96" s="198" t="s">
        <v>286</v>
      </c>
      <c r="C96" s="372">
        <f>((5/30)/12)*0.02</f>
        <v>2.7777777777777778E-4</v>
      </c>
      <c r="D96" s="170">
        <f t="shared" si="2"/>
        <v>0.5139083333333333</v>
      </c>
      <c r="E96" s="169"/>
    </row>
    <row r="97" spans="1:6" ht="18" customHeight="1">
      <c r="A97" s="212" t="s">
        <v>12</v>
      </c>
      <c r="B97" s="198" t="s">
        <v>287</v>
      </c>
      <c r="C97" s="372">
        <f>(((15/30)/12)*0.0078)</f>
        <v>3.2499999999999999E-4</v>
      </c>
      <c r="D97" s="170">
        <f t="shared" si="2"/>
        <v>0.60127274999999991</v>
      </c>
      <c r="E97" s="169"/>
    </row>
    <row r="98" spans="1:6" ht="18" customHeight="1">
      <c r="A98" s="212" t="s">
        <v>14</v>
      </c>
      <c r="B98" s="198" t="s">
        <v>288</v>
      </c>
      <c r="C98" s="372">
        <f>((1+1/3)/12)*0.02*((4/12))</f>
        <v>7.407407407407407E-4</v>
      </c>
      <c r="D98" s="170">
        <f t="shared" si="2"/>
        <v>1.3704222222222222</v>
      </c>
      <c r="E98" s="169"/>
    </row>
    <row r="99" spans="1:6" ht="18" customHeight="1">
      <c r="A99" s="212" t="s">
        <v>17</v>
      </c>
      <c r="B99" s="198" t="s">
        <v>289</v>
      </c>
      <c r="C99" s="372">
        <v>0</v>
      </c>
      <c r="D99" s="170">
        <f t="shared" si="2"/>
        <v>0</v>
      </c>
      <c r="E99" s="169"/>
    </row>
    <row r="100" spans="1:6" ht="18" customHeight="1">
      <c r="A100" s="711" t="s">
        <v>290</v>
      </c>
      <c r="B100" s="712"/>
      <c r="C100" s="213">
        <f>SUM(C94:C99)</f>
        <v>2.3102777777777774E-2</v>
      </c>
      <c r="D100" s="214">
        <f>SUM(D94:D99)</f>
        <v>42.741756083333328</v>
      </c>
      <c r="E100" s="215"/>
      <c r="F100" s="216"/>
    </row>
    <row r="101" spans="1:6" ht="18" customHeight="1">
      <c r="A101" s="212" t="s">
        <v>32</v>
      </c>
      <c r="B101" s="198" t="s">
        <v>291</v>
      </c>
      <c r="C101" s="217">
        <f>C100*C52</f>
        <v>8.5018222222222224E-3</v>
      </c>
      <c r="D101" s="199">
        <f>C101*($D$32)</f>
        <v>15.728966238666667</v>
      </c>
      <c r="E101" s="200"/>
    </row>
    <row r="102" spans="1:6" ht="18" customHeight="1" thickBot="1">
      <c r="A102" s="713" t="s">
        <v>152</v>
      </c>
      <c r="B102" s="714"/>
      <c r="C102" s="218">
        <f>SUM(C100:C101)</f>
        <v>3.1604599999999997E-2</v>
      </c>
      <c r="D102" s="219">
        <f>SUM(D100:D101)</f>
        <v>58.470722321999993</v>
      </c>
      <c r="E102" s="220"/>
      <c r="F102" s="216"/>
    </row>
    <row r="103" spans="1:6" ht="15" customHeight="1" thickBot="1">
      <c r="A103" s="697"/>
      <c r="B103" s="698"/>
      <c r="C103" s="698"/>
      <c r="D103" s="698"/>
      <c r="E103" s="155"/>
    </row>
    <row r="104" spans="1:6" ht="15" customHeight="1">
      <c r="A104" s="681" t="s">
        <v>292</v>
      </c>
      <c r="B104" s="682"/>
      <c r="C104" s="682"/>
      <c r="D104" s="683"/>
      <c r="E104" s="176"/>
    </row>
    <row r="105" spans="1:6" ht="15" customHeight="1">
      <c r="A105" s="221" t="s">
        <v>165</v>
      </c>
      <c r="B105" s="222" t="s">
        <v>293</v>
      </c>
      <c r="C105" s="222" t="s">
        <v>35</v>
      </c>
      <c r="D105" s="223"/>
      <c r="E105" s="224"/>
    </row>
    <row r="106" spans="1:6" ht="15" customHeight="1">
      <c r="A106" s="221" t="s">
        <v>6</v>
      </c>
      <c r="B106" s="225" t="s">
        <v>294</v>
      </c>
      <c r="C106" s="226">
        <v>0</v>
      </c>
      <c r="D106" s="227">
        <v>0</v>
      </c>
      <c r="E106" s="228"/>
    </row>
    <row r="107" spans="1:6" ht="15" customHeight="1" thickBot="1">
      <c r="A107" s="715" t="s">
        <v>152</v>
      </c>
      <c r="B107" s="716"/>
      <c r="C107" s="229">
        <f>SUM(C106)</f>
        <v>0</v>
      </c>
      <c r="D107" s="230">
        <f>SUM(D106)</f>
        <v>0</v>
      </c>
      <c r="E107" s="231"/>
    </row>
    <row r="108" spans="1:6" ht="15" customHeight="1" thickBot="1">
      <c r="A108" s="697"/>
      <c r="B108" s="698"/>
      <c r="C108" s="698"/>
      <c r="D108" s="698"/>
      <c r="E108" s="155"/>
    </row>
    <row r="109" spans="1:6" ht="15" customHeight="1">
      <c r="A109" s="681" t="s">
        <v>295</v>
      </c>
      <c r="B109" s="682"/>
      <c r="C109" s="682"/>
      <c r="D109" s="683"/>
      <c r="E109" s="176"/>
    </row>
    <row r="110" spans="1:6" ht="18" customHeight="1">
      <c r="A110" s="163">
        <v>4</v>
      </c>
      <c r="B110" s="232" t="s">
        <v>296</v>
      </c>
      <c r="C110" s="232"/>
      <c r="D110" s="187" t="s">
        <v>35</v>
      </c>
      <c r="E110" s="176"/>
    </row>
    <row r="111" spans="1:6" ht="18" customHeight="1">
      <c r="A111" s="163" t="s">
        <v>164</v>
      </c>
      <c r="B111" s="167" t="s">
        <v>283</v>
      </c>
      <c r="C111" s="167"/>
      <c r="D111" s="170">
        <f>D102</f>
        <v>58.470722321999993</v>
      </c>
      <c r="E111" s="169"/>
    </row>
    <row r="112" spans="1:6" ht="18" customHeight="1">
      <c r="A112" s="221" t="s">
        <v>165</v>
      </c>
      <c r="B112" s="233" t="s">
        <v>297</v>
      </c>
      <c r="C112" s="233"/>
      <c r="D112" s="227">
        <f>C107</f>
        <v>0</v>
      </c>
      <c r="E112" s="228"/>
    </row>
    <row r="113" spans="1:10" ht="18" customHeight="1" thickBot="1">
      <c r="A113" s="188" t="s">
        <v>152</v>
      </c>
      <c r="B113" s="171"/>
      <c r="C113" s="171"/>
      <c r="D113" s="172">
        <f>SUM(D111:D112)</f>
        <v>58.470722321999993</v>
      </c>
      <c r="E113" s="173"/>
    </row>
    <row r="114" spans="1:10" ht="15" customHeight="1" thickBot="1">
      <c r="A114" s="697"/>
      <c r="B114" s="698"/>
      <c r="C114" s="698"/>
      <c r="D114" s="698"/>
      <c r="E114" s="155"/>
    </row>
    <row r="115" spans="1:10" ht="18" customHeight="1" thickBot="1">
      <c r="A115" s="701" t="s">
        <v>298</v>
      </c>
      <c r="B115" s="702"/>
      <c r="C115" s="702"/>
      <c r="D115" s="703"/>
      <c r="E115" s="207"/>
    </row>
    <row r="116" spans="1:10" s="149" customFormat="1" ht="18" customHeight="1">
      <c r="A116" s="194">
        <v>5</v>
      </c>
      <c r="B116" s="205" t="s">
        <v>299</v>
      </c>
      <c r="C116" s="205"/>
      <c r="D116" s="197" t="s">
        <v>35</v>
      </c>
      <c r="E116" s="176"/>
      <c r="F116" s="148"/>
      <c r="G116" s="148"/>
      <c r="H116" s="148"/>
      <c r="I116" s="148"/>
      <c r="J116" s="148"/>
    </row>
    <row r="117" spans="1:10" s="149" customFormat="1" ht="18" customHeight="1">
      <c r="A117" s="163" t="s">
        <v>6</v>
      </c>
      <c r="B117" s="167" t="s">
        <v>80</v>
      </c>
      <c r="C117" s="167"/>
      <c r="D117" s="170">
        <f>'6-CUSTOS UNIFORMES'!F23+'6-CUSTOS UNIFORMES'!F39</f>
        <v>0</v>
      </c>
      <c r="E117" s="169"/>
      <c r="F117" s="148"/>
      <c r="G117" s="148"/>
      <c r="H117" s="148"/>
      <c r="I117" s="148"/>
      <c r="J117" s="148"/>
    </row>
    <row r="118" spans="1:10" s="149" customFormat="1" ht="18" customHeight="1">
      <c r="A118" s="163" t="s">
        <v>8</v>
      </c>
      <c r="B118" s="167" t="s">
        <v>166</v>
      </c>
      <c r="C118" s="167"/>
      <c r="D118" s="170">
        <f>'7-CUSTOS MATERIAIS E EQUIP.'!G64</f>
        <v>0</v>
      </c>
      <c r="E118" s="169"/>
      <c r="F118" s="148"/>
      <c r="G118" s="148"/>
      <c r="H118" s="126"/>
      <c r="I118" s="126"/>
      <c r="J118" s="126"/>
    </row>
    <row r="119" spans="1:10" s="149" customFormat="1" ht="18" customHeight="1">
      <c r="A119" s="163" t="s">
        <v>10</v>
      </c>
      <c r="B119" s="167" t="s">
        <v>300</v>
      </c>
      <c r="C119" s="167"/>
      <c r="D119" s="170">
        <f>'7-CUSTOS MATERIAIS E EQUIP.'!G99</f>
        <v>0</v>
      </c>
      <c r="E119" s="169"/>
      <c r="F119" s="148"/>
      <c r="G119" s="148"/>
      <c r="H119" s="126"/>
      <c r="I119" s="126"/>
      <c r="J119" s="126"/>
    </row>
    <row r="120" spans="1:10" s="149" customFormat="1" ht="18" customHeight="1">
      <c r="A120" s="163" t="s">
        <v>12</v>
      </c>
      <c r="B120" s="373" t="s">
        <v>83</v>
      </c>
      <c r="C120" s="167"/>
      <c r="D120" s="366">
        <v>0</v>
      </c>
      <c r="E120" s="169"/>
      <c r="F120" s="148"/>
      <c r="G120" s="148"/>
      <c r="H120" s="126"/>
      <c r="I120" s="126"/>
      <c r="J120" s="126"/>
    </row>
    <row r="121" spans="1:10" s="149" customFormat="1" ht="18" customHeight="1" thickBot="1">
      <c r="A121" s="188" t="s">
        <v>152</v>
      </c>
      <c r="B121" s="171"/>
      <c r="C121" s="171"/>
      <c r="D121" s="172">
        <f>SUM(D117:D120)</f>
        <v>0</v>
      </c>
      <c r="E121" s="173"/>
      <c r="F121" s="148"/>
      <c r="G121" s="148"/>
      <c r="H121" s="126"/>
      <c r="I121" s="126"/>
      <c r="J121" s="126"/>
    </row>
    <row r="122" spans="1:10" s="149" customFormat="1" ht="15" customHeight="1" thickBot="1">
      <c r="A122" s="699"/>
      <c r="B122" s="700"/>
      <c r="C122" s="700"/>
      <c r="D122" s="700"/>
      <c r="E122" s="155"/>
      <c r="F122" s="148"/>
      <c r="G122" s="148"/>
      <c r="H122" s="148"/>
      <c r="I122" s="148"/>
      <c r="J122" s="148"/>
    </row>
    <row r="123" spans="1:10" s="149" customFormat="1" ht="18" customHeight="1" thickBot="1">
      <c r="A123" s="701" t="s">
        <v>301</v>
      </c>
      <c r="B123" s="702"/>
      <c r="C123" s="702"/>
      <c r="D123" s="703"/>
      <c r="E123" s="207"/>
      <c r="F123" s="148"/>
      <c r="G123" s="148"/>
      <c r="H123" s="148"/>
      <c r="I123" s="148"/>
      <c r="J123" s="148"/>
    </row>
    <row r="124" spans="1:10" s="149" customFormat="1" ht="31.5" customHeight="1">
      <c r="A124" s="717" t="s">
        <v>302</v>
      </c>
      <c r="B124" s="718"/>
      <c r="C124" s="374" t="s">
        <v>432</v>
      </c>
      <c r="D124" s="234" t="str">
        <f>C124</f>
        <v>Lucro presumido</v>
      </c>
      <c r="E124" s="235"/>
      <c r="F124" s="148"/>
      <c r="G124" s="148"/>
      <c r="H124" s="148"/>
      <c r="I124" s="148"/>
      <c r="J124" s="148"/>
    </row>
    <row r="125" spans="1:10" s="149" customFormat="1" ht="18" customHeight="1">
      <c r="A125" s="163">
        <v>6</v>
      </c>
      <c r="B125" s="179" t="s">
        <v>303</v>
      </c>
      <c r="C125" s="179" t="s">
        <v>248</v>
      </c>
      <c r="D125" s="187" t="s">
        <v>35</v>
      </c>
      <c r="E125" s="176"/>
      <c r="F125" s="148"/>
      <c r="G125" s="148"/>
      <c r="H125" s="148"/>
      <c r="I125" s="148"/>
      <c r="J125" s="148"/>
    </row>
    <row r="126" spans="1:10" s="149" customFormat="1" ht="18" customHeight="1">
      <c r="A126" s="212" t="s">
        <v>6</v>
      </c>
      <c r="B126" s="236" t="s">
        <v>304</v>
      </c>
      <c r="C126" s="375">
        <v>0</v>
      </c>
      <c r="D126" s="238">
        <f>$C126*D$144</f>
        <v>0</v>
      </c>
      <c r="E126" s="173"/>
      <c r="F126" s="148"/>
      <c r="G126" s="148"/>
      <c r="H126" s="148"/>
      <c r="I126" s="148"/>
      <c r="J126" s="148"/>
    </row>
    <row r="127" spans="1:10" s="149" customFormat="1" ht="18" customHeight="1">
      <c r="A127" s="212" t="s">
        <v>8</v>
      </c>
      <c r="B127" s="236" t="s">
        <v>99</v>
      </c>
      <c r="C127" s="375">
        <v>0</v>
      </c>
      <c r="D127" s="238">
        <f>$C127*(D$144+D126)</f>
        <v>0</v>
      </c>
      <c r="E127" s="173"/>
      <c r="F127" s="148"/>
      <c r="G127" s="148"/>
      <c r="H127" s="148"/>
      <c r="I127" s="148"/>
      <c r="J127" s="148"/>
    </row>
    <row r="128" spans="1:10" s="149" customFormat="1" ht="18" customHeight="1">
      <c r="A128" s="239" t="s">
        <v>10</v>
      </c>
      <c r="B128" s="240" t="s">
        <v>305</v>
      </c>
      <c r="C128" s="237">
        <f>SUM(C129:C132)</f>
        <v>8.6499999999999994E-2</v>
      </c>
      <c r="D128" s="238">
        <f>SUM(D129:D132)</f>
        <v>407.12353791933998</v>
      </c>
      <c r="E128" s="173"/>
      <c r="F128" s="148"/>
      <c r="G128" s="148"/>
      <c r="H128" s="148"/>
      <c r="I128" s="216"/>
      <c r="J128" s="148"/>
    </row>
    <row r="129" spans="1:10" s="149" customFormat="1" ht="18" customHeight="1">
      <c r="A129" s="212" t="s">
        <v>306</v>
      </c>
      <c r="B129" s="167" t="s">
        <v>307</v>
      </c>
      <c r="C129" s="376" cm="1">
        <f t="array" ref="C129">_xlfn.IFS(C124="Lucro presumido",0.65%,C124="Lucro real",1.65%,C124="Outros",0%)</f>
        <v>6.5000000000000006E-3</v>
      </c>
      <c r="D129" s="241">
        <f>($D$144+$D$126+$D$127)*C129/(1-$C$128)</f>
        <v>30.593098225152719</v>
      </c>
      <c r="E129" s="242"/>
      <c r="F129" s="148"/>
      <c r="G129" s="148"/>
      <c r="H129" s="148"/>
      <c r="I129" s="216"/>
      <c r="J129" s="148"/>
    </row>
    <row r="130" spans="1:10" s="149" customFormat="1" ht="18" customHeight="1">
      <c r="A130" s="212" t="s">
        <v>308</v>
      </c>
      <c r="B130" s="167" t="s">
        <v>309</v>
      </c>
      <c r="C130" s="376" cm="1">
        <f t="array" ref="C130">_xlfn.IFS(C124="Lucro presumido",3%,C124="Lucro real",7.6%,C124="Outros",0%)</f>
        <v>0.03</v>
      </c>
      <c r="D130" s="241">
        <f>($D$144+$D$126+$D$127)*C130/(1-$C$128)</f>
        <v>141.19891488532022</v>
      </c>
      <c r="E130" s="242"/>
      <c r="F130" s="148"/>
      <c r="G130" s="148"/>
      <c r="H130" s="148"/>
      <c r="I130" s="148"/>
      <c r="J130" s="216"/>
    </row>
    <row r="131" spans="1:10" s="149" customFormat="1" ht="18" customHeight="1">
      <c r="A131" s="212" t="s">
        <v>310</v>
      </c>
      <c r="B131" s="167" t="s">
        <v>311</v>
      </c>
      <c r="C131" s="376">
        <v>0.05</v>
      </c>
      <c r="D131" s="241">
        <f>($D$144+$D$126+$D$127)*C131/(1-$C$128)</f>
        <v>235.33152480886704</v>
      </c>
      <c r="E131" s="242"/>
      <c r="F131" s="148"/>
      <c r="G131" s="148"/>
      <c r="H131" s="148"/>
      <c r="I131" s="148"/>
      <c r="J131" s="216"/>
    </row>
    <row r="132" spans="1:10" s="149" customFormat="1" ht="18" customHeight="1">
      <c r="A132" s="243" t="s">
        <v>312</v>
      </c>
      <c r="B132" s="244" t="s">
        <v>313</v>
      </c>
      <c r="C132" s="376">
        <v>0</v>
      </c>
      <c r="D132" s="245">
        <f>($D$144+$D$126+$D$127)*C132/(1-$C$128)</f>
        <v>0</v>
      </c>
      <c r="E132" s="246"/>
      <c r="F132" s="148"/>
      <c r="G132" s="148"/>
      <c r="H132" s="148"/>
      <c r="I132" s="148"/>
      <c r="J132" s="216"/>
    </row>
    <row r="133" spans="1:10" s="149" customFormat="1" ht="18" customHeight="1" thickBot="1">
      <c r="A133" s="188" t="s">
        <v>152</v>
      </c>
      <c r="B133" s="171"/>
      <c r="C133" s="247">
        <f>SUM(C126:C128)</f>
        <v>8.6499999999999994E-2</v>
      </c>
      <c r="D133" s="248">
        <f>SUM(D126:D128)</f>
        <v>407.12353791933998</v>
      </c>
      <c r="E133" s="249"/>
      <c r="F133" s="148"/>
      <c r="G133" s="148"/>
      <c r="H133" s="148"/>
      <c r="I133" s="148"/>
      <c r="J133" s="216"/>
    </row>
    <row r="134" spans="1:10" s="149" customFormat="1" ht="21.75" customHeight="1">
      <c r="A134" s="719" t="s">
        <v>314</v>
      </c>
      <c r="B134" s="720"/>
      <c r="C134" s="720"/>
      <c r="D134" s="720"/>
      <c r="E134" s="250"/>
      <c r="F134" s="148"/>
      <c r="G134" s="148"/>
      <c r="H134" s="148"/>
      <c r="I134" s="148"/>
      <c r="J134" s="216"/>
    </row>
    <row r="135" spans="1:10" s="149" customFormat="1" ht="25.5" customHeight="1">
      <c r="A135" s="689" t="s">
        <v>315</v>
      </c>
      <c r="B135" s="690"/>
      <c r="C135" s="690"/>
      <c r="D135" s="690"/>
      <c r="E135" s="190"/>
      <c r="F135" s="148"/>
      <c r="G135" s="148"/>
      <c r="H135" s="148"/>
      <c r="I135" s="148"/>
      <c r="J135" s="216"/>
    </row>
    <row r="136" spans="1:10" s="149" customFormat="1" ht="15" customHeight="1" thickBot="1">
      <c r="A136" s="699"/>
      <c r="B136" s="700"/>
      <c r="C136" s="700"/>
      <c r="D136" s="700"/>
      <c r="E136" s="155"/>
      <c r="F136" s="148"/>
      <c r="G136" s="148"/>
      <c r="H136" s="148"/>
      <c r="I136" s="148"/>
      <c r="J136" s="148"/>
    </row>
    <row r="137" spans="1:10" s="149" customFormat="1" ht="18" customHeight="1" thickBot="1">
      <c r="A137" s="701" t="s">
        <v>316</v>
      </c>
      <c r="B137" s="702"/>
      <c r="C137" s="702"/>
      <c r="D137" s="702"/>
      <c r="E137" s="207"/>
      <c r="F137" s="148"/>
      <c r="G137" s="148"/>
      <c r="H137" s="148"/>
      <c r="I137" s="148"/>
      <c r="J137" s="148"/>
    </row>
    <row r="138" spans="1:10" s="149" customFormat="1" ht="18" customHeight="1">
      <c r="A138" s="681" t="s">
        <v>317</v>
      </c>
      <c r="B138" s="721"/>
      <c r="C138" s="205"/>
      <c r="D138" s="251" t="s">
        <v>318</v>
      </c>
      <c r="E138" s="176"/>
      <c r="F138" s="148"/>
      <c r="G138" s="148"/>
      <c r="H138" s="148"/>
      <c r="I138" s="148"/>
      <c r="J138" s="216"/>
    </row>
    <row r="139" spans="1:10" s="149" customFormat="1" ht="18" customHeight="1">
      <c r="A139" s="212" t="s">
        <v>6</v>
      </c>
      <c r="B139" s="198" t="s">
        <v>241</v>
      </c>
      <c r="C139" s="198"/>
      <c r="D139" s="252">
        <f>D32</f>
        <v>1850.07</v>
      </c>
      <c r="E139" s="253"/>
      <c r="F139" s="148"/>
      <c r="G139" s="148"/>
      <c r="H139" s="216"/>
      <c r="I139" s="148"/>
      <c r="J139" s="148"/>
    </row>
    <row r="140" spans="1:10" s="149" customFormat="1" ht="18" customHeight="1">
      <c r="A140" s="212" t="s">
        <v>8</v>
      </c>
      <c r="B140" s="198" t="s">
        <v>245</v>
      </c>
      <c r="C140" s="198"/>
      <c r="D140" s="252">
        <f>D77</f>
        <v>2259.4262589360001</v>
      </c>
      <c r="E140" s="253"/>
      <c r="F140" s="148"/>
      <c r="G140" s="148"/>
      <c r="H140" s="148"/>
      <c r="I140" s="148"/>
      <c r="J140" s="216"/>
    </row>
    <row r="141" spans="1:10" s="149" customFormat="1" ht="18" customHeight="1">
      <c r="A141" s="212" t="s">
        <v>10</v>
      </c>
      <c r="B141" s="198" t="s">
        <v>272</v>
      </c>
      <c r="C141" s="198"/>
      <c r="D141" s="252">
        <f>D87</f>
        <v>131.53997699999999</v>
      </c>
      <c r="E141" s="253"/>
      <c r="F141" s="148"/>
      <c r="G141" s="148"/>
      <c r="H141" s="148"/>
      <c r="I141" s="148"/>
      <c r="J141" s="216"/>
    </row>
    <row r="142" spans="1:10" s="149" customFormat="1" ht="18" customHeight="1">
      <c r="A142" s="212" t="s">
        <v>12</v>
      </c>
      <c r="B142" s="198" t="s">
        <v>319</v>
      </c>
      <c r="C142" s="198"/>
      <c r="D142" s="252">
        <f>D113</f>
        <v>58.470722321999993</v>
      </c>
      <c r="E142" s="253"/>
      <c r="F142" s="148"/>
      <c r="G142" s="148"/>
      <c r="H142" s="216"/>
      <c r="I142" s="148"/>
      <c r="J142" s="216"/>
    </row>
    <row r="143" spans="1:10" s="149" customFormat="1" ht="18" customHeight="1">
      <c r="A143" s="212" t="s">
        <v>14</v>
      </c>
      <c r="B143" s="198" t="s">
        <v>298</v>
      </c>
      <c r="C143" s="198"/>
      <c r="D143" s="252">
        <f>D121</f>
        <v>0</v>
      </c>
      <c r="E143" s="253"/>
      <c r="F143" s="148"/>
      <c r="G143" s="148"/>
      <c r="H143" s="216"/>
      <c r="I143" s="148"/>
      <c r="J143" s="216"/>
    </row>
    <row r="144" spans="1:10" s="149" customFormat="1" ht="18" customHeight="1">
      <c r="A144" s="722" t="s">
        <v>320</v>
      </c>
      <c r="B144" s="723"/>
      <c r="C144" s="232"/>
      <c r="D144" s="254">
        <f>SUM(D139:D143)</f>
        <v>4299.5069582580009</v>
      </c>
      <c r="E144" s="249"/>
      <c r="F144" s="148"/>
      <c r="G144" s="148"/>
      <c r="H144" s="148"/>
      <c r="I144" s="148"/>
      <c r="J144" s="148"/>
    </row>
    <row r="145" spans="1:10" s="149" customFormat="1" ht="18" customHeight="1">
      <c r="A145" s="212" t="s">
        <v>17</v>
      </c>
      <c r="B145" s="167" t="s">
        <v>301</v>
      </c>
      <c r="C145" s="167"/>
      <c r="D145" s="252">
        <f>D133</f>
        <v>407.12353791933998</v>
      </c>
      <c r="E145" s="253"/>
      <c r="F145" s="148"/>
      <c r="G145" s="148"/>
      <c r="H145" s="148"/>
      <c r="I145" s="148"/>
      <c r="J145" s="148"/>
    </row>
    <row r="146" spans="1:10" s="149" customFormat="1" ht="18" customHeight="1" thickBot="1">
      <c r="A146" s="724" t="s">
        <v>321</v>
      </c>
      <c r="B146" s="725"/>
      <c r="C146" s="255"/>
      <c r="D146" s="256">
        <f>ROUND(SUM(D144:D145),2)</f>
        <v>4706.63</v>
      </c>
      <c r="E146" s="257"/>
      <c r="F146" s="148"/>
      <c r="G146" s="148"/>
      <c r="H146" s="148"/>
      <c r="I146" s="148"/>
      <c r="J146" s="148"/>
    </row>
    <row r="147" spans="1:10" s="149" customFormat="1" ht="18" customHeight="1">
      <c r="A147" s="148"/>
      <c r="B147" s="148"/>
      <c r="C147" s="148"/>
      <c r="D147" s="148"/>
      <c r="E147" s="148"/>
      <c r="F147" s="148"/>
      <c r="G147" s="148"/>
      <c r="H147" s="148"/>
      <c r="I147" s="148"/>
      <c r="J147" s="148"/>
    </row>
    <row r="148" spans="1:10">
      <c r="C148" s="692"/>
      <c r="D148" s="692"/>
      <c r="E148" s="692"/>
      <c r="F148" s="692"/>
      <c r="G148" s="692"/>
    </row>
    <row r="151" spans="1:10">
      <c r="G151" s="216"/>
    </row>
    <row r="152" spans="1:10">
      <c r="G152" s="216"/>
    </row>
    <row r="153" spans="1:10">
      <c r="G153" s="216"/>
    </row>
    <row r="154" spans="1:10">
      <c r="G154" s="216"/>
    </row>
    <row r="155" spans="1:10">
      <c r="G155" s="216"/>
    </row>
  </sheetData>
  <mergeCells count="65">
    <mergeCell ref="A137:D137"/>
    <mergeCell ref="A138:B138"/>
    <mergeCell ref="A144:B144"/>
    <mergeCell ref="A146:B146"/>
    <mergeCell ref="C148:G148"/>
    <mergeCell ref="A136:D136"/>
    <mergeCell ref="A104:D104"/>
    <mergeCell ref="A107:B107"/>
    <mergeCell ref="A108:D108"/>
    <mergeCell ref="A109:D109"/>
    <mergeCell ref="A114:D114"/>
    <mergeCell ref="A115:D115"/>
    <mergeCell ref="A122:D122"/>
    <mergeCell ref="A123:D123"/>
    <mergeCell ref="A124:B124"/>
    <mergeCell ref="A134:D134"/>
    <mergeCell ref="A135:D135"/>
    <mergeCell ref="A103:D103"/>
    <mergeCell ref="A71:D71"/>
    <mergeCell ref="A72:D72"/>
    <mergeCell ref="A78:D78"/>
    <mergeCell ref="A79:D79"/>
    <mergeCell ref="A88:D88"/>
    <mergeCell ref="A89:D89"/>
    <mergeCell ref="A90:D90"/>
    <mergeCell ref="A91:D91"/>
    <mergeCell ref="A92:D92"/>
    <mergeCell ref="A100:B100"/>
    <mergeCell ref="A102:B102"/>
    <mergeCell ref="A58:D58"/>
    <mergeCell ref="A33:D33"/>
    <mergeCell ref="A35:D35"/>
    <mergeCell ref="A36:D36"/>
    <mergeCell ref="A40:B40"/>
    <mergeCell ref="A41:D41"/>
    <mergeCell ref="A42:D42"/>
    <mergeCell ref="A53:D53"/>
    <mergeCell ref="A54:D54"/>
    <mergeCell ref="A55:D55"/>
    <mergeCell ref="A56:D56"/>
    <mergeCell ref="A57:D57"/>
    <mergeCell ref="A32:B32"/>
    <mergeCell ref="B15:C15"/>
    <mergeCell ref="B16:C16"/>
    <mergeCell ref="B17:C17"/>
    <mergeCell ref="B18:C18"/>
    <mergeCell ref="B19:C19"/>
    <mergeCell ref="B20:C20"/>
    <mergeCell ref="A21:D21"/>
    <mergeCell ref="A22:D22"/>
    <mergeCell ref="A23:D23"/>
    <mergeCell ref="A24:D24"/>
    <mergeCell ref="A26:D26"/>
    <mergeCell ref="B14:C14"/>
    <mergeCell ref="A1:D1"/>
    <mergeCell ref="A2:D2"/>
    <mergeCell ref="F2:K2"/>
    <mergeCell ref="A3:D3"/>
    <mergeCell ref="F3:K8"/>
    <mergeCell ref="A8:D8"/>
    <mergeCell ref="B9:C9"/>
    <mergeCell ref="B10:C10"/>
    <mergeCell ref="B11:C11"/>
    <mergeCell ref="B12:C12"/>
    <mergeCell ref="B13:C13"/>
  </mergeCells>
  <dataValidations count="2">
    <dataValidation type="list" allowBlank="1" showInputMessage="1" showErrorMessage="1" sqref="D124:E124" xr:uid="{BB19E5CA-593B-45F5-868D-F9C92F08B856}">
      <formula1>"Lucro presumido,Lucro real"</formula1>
    </dataValidation>
    <dataValidation type="list" allowBlank="1" showInputMessage="1" showErrorMessage="1" sqref="C124" xr:uid="{4961791E-5178-4B64-8865-B219FB32C6C8}">
      <formula1>"Lucro presumido,Lucro real, Outros"</formula1>
    </dataValidation>
  </dataValidations>
  <printOptions horizontalCentered="1"/>
  <pageMargins left="0.25" right="0.25" top="0.75" bottom="0.75" header="0.3" footer="0.3"/>
  <pageSetup paperSize="9" scale="76" fitToHeight="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15</vt:i4>
      </vt:variant>
      <vt:variant>
        <vt:lpstr>Intervalos Nomeados</vt:lpstr>
      </vt:variant>
      <vt:variant>
        <vt:i4>14</vt:i4>
      </vt:variant>
    </vt:vector>
  </HeadingPairs>
  <TitlesOfParts>
    <vt:vector size="29" baseType="lpstr">
      <vt:lpstr>portaria </vt:lpstr>
      <vt:lpstr>INDICE</vt:lpstr>
      <vt:lpstr>1-RESUMO PROPOSTA</vt:lpstr>
      <vt:lpstr>2-EMPREGADOS X PRODUTIVIDADE</vt:lpstr>
      <vt:lpstr>3-PREÇO POR M²</vt:lpstr>
      <vt:lpstr>4a-CUSTOS SERVENTE AUX LIMPEZA</vt:lpstr>
      <vt:lpstr>4b-CUSTOS AGENTE HIGIENIZAÇÂO</vt:lpstr>
      <vt:lpstr>4c-CUSTOS LIDER</vt:lpstr>
      <vt:lpstr>4d-CUSTOS COPEIRA</vt:lpstr>
      <vt:lpstr>5-BENEFICIOS</vt:lpstr>
      <vt:lpstr>6-CUSTOS UNIFORMES</vt:lpstr>
      <vt:lpstr>7-CUSTOS MATERIAIS E EQUIP.</vt:lpstr>
      <vt:lpstr>8-CUSTOS RESERVATORIOS</vt:lpstr>
      <vt:lpstr>9-CUSTOS CONT. PRAGAS</vt:lpstr>
      <vt:lpstr>10-CONTIGENCIAMENTO TRABALHISTA</vt:lpstr>
      <vt:lpstr>'10-CONTIGENCIAMENTO TRABALHISTA'!Area_de_impressao</vt:lpstr>
      <vt:lpstr>'1-RESUMO PROPOSTA'!Area_de_impressao</vt:lpstr>
      <vt:lpstr>'2-EMPREGADOS X PRODUTIVIDADE'!Area_de_impressao</vt:lpstr>
      <vt:lpstr>'3-PREÇO POR M²'!Area_de_impressao</vt:lpstr>
      <vt:lpstr>'4a-CUSTOS SERVENTE AUX LIMPEZA'!Area_de_impressao</vt:lpstr>
      <vt:lpstr>'4b-CUSTOS AGENTE HIGIENIZAÇÂO'!Area_de_impressao</vt:lpstr>
      <vt:lpstr>'4c-CUSTOS LIDER'!Area_de_impressao</vt:lpstr>
      <vt:lpstr>'4d-CUSTOS COPEIRA'!Area_de_impressao</vt:lpstr>
      <vt:lpstr>'5-BENEFICIOS'!Area_de_impressao</vt:lpstr>
      <vt:lpstr>'6-CUSTOS UNIFORMES'!Area_de_impressao</vt:lpstr>
      <vt:lpstr>'8-CUSTOS RESERVATORIOS'!Area_de_impressao</vt:lpstr>
      <vt:lpstr>'9-CUSTOS CONT. PRAGAS'!Area_de_impressao</vt:lpstr>
      <vt:lpstr>INDICE!Area_de_impressao</vt:lpstr>
      <vt:lpstr>'portaria '!Area_de_impressao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2006-09-25T12:47:36Z</dcterms:created>
  <dcterms:modified xsi:type="dcterms:W3CDTF">2026-06-12T17:06:30Z</dcterms:modified>
</cp:coreProperties>
</file>